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sfgov1.sharepoint.com/sites/Juv-AdministrativeTeam/Shared Documents/Title IV-E Channel/Title IV-E_Claim Templates and Ref Docs/Claim Templates and Master Lookup Tables/CPOC Training Series/"/>
    </mc:Choice>
  </mc:AlternateContent>
  <xr:revisionPtr revIDLastSave="0" documentId="8_{3B6C6027-B188-421B-8FDD-FD121CD24AEB}" xr6:coauthVersionLast="47" xr6:coauthVersionMax="47" xr10:uidLastSave="{00000000-0000-0000-0000-000000000000}"/>
  <bookViews>
    <workbookView xWindow="-28920" yWindow="-30" windowWidth="29040" windowHeight="18240" tabRatio="980" activeTab="1" xr2:uid="{E126509B-47D5-4DBB-B1E4-2479E15D66AA}"/>
  </bookViews>
  <sheets>
    <sheet name="WORKBOOK INSTRUCTIONS" sheetId="14" r:id="rId1"/>
    <sheet name="Cost Claim Summary" sheetId="4" r:id="rId2"/>
    <sheet name="Cost Calculation" sheetId="5" r:id="rId3"/>
    <sheet name="Cost Sharing" sheetId="15" r:id="rId4"/>
    <sheet name="Payroll Costs" sheetId="9" r:id="rId5"/>
    <sheet name="Non Payroll Costs" sheetId="10" r:id="rId6"/>
    <sheet name="Time Study Hours" sheetId="8" r:id="rId7"/>
    <sheet name="CECRIS PIN Lookup Table" sheetId="2" r:id="rId8"/>
  </sheets>
  <definedNames>
    <definedName name="_xlnm._FilterDatabase" localSheetId="2" hidden="1">'Cost Calculation'!$A$4:$H$25</definedName>
    <definedName name="_xlnm.Print_Area" localSheetId="2">'Cost Calculation'!$A$1:$M$47</definedName>
    <definedName name="_xlnm.Print_Area" localSheetId="1">'Cost Claim Summary'!$A$2:$D$44</definedName>
    <definedName name="_xlnm.Print_Area" localSheetId="3">'Cost Sharing'!$A$3:$O$38</definedName>
    <definedName name="_xlnm.Print_Area" localSheetId="0">'WORKBOOK INSTRUCTIONS'!$A$1:$E$10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8" l="1"/>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6" i="8"/>
  <c r="B34" i="8" l="1"/>
  <c r="B35" i="8"/>
  <c r="B18" i="8"/>
  <c r="B19" i="8"/>
  <c r="B20" i="8"/>
  <c r="B21" i="8"/>
  <c r="B22" i="8"/>
  <c r="B23" i="8"/>
  <c r="B24" i="8"/>
  <c r="B25" i="8"/>
  <c r="B26" i="8"/>
  <c r="B27" i="8"/>
  <c r="B28" i="8"/>
  <c r="B29" i="8"/>
  <c r="B30" i="8"/>
  <c r="B31" i="8"/>
  <c r="B32" i="8"/>
  <c r="B33" i="8"/>
  <c r="B36" i="8"/>
  <c r="B25" i="4"/>
  <c r="B26" i="4"/>
  <c r="B27" i="4"/>
  <c r="B28" i="4"/>
  <c r="B29" i="4"/>
  <c r="B30" i="4"/>
  <c r="B31" i="4"/>
  <c r="B32" i="4"/>
  <c r="B33" i="4"/>
  <c r="B34" i="4"/>
  <c r="B35" i="4"/>
  <c r="B36" i="4"/>
  <c r="B37" i="4"/>
  <c r="B38" i="4"/>
  <c r="B39" i="4"/>
  <c r="B40" i="4"/>
  <c r="B41" i="4"/>
  <c r="B42" i="4"/>
  <c r="B43" i="4"/>
  <c r="B28" i="5"/>
  <c r="B29" i="5"/>
  <c r="B30" i="5"/>
  <c r="B31" i="5"/>
  <c r="B32" i="5"/>
  <c r="B33" i="5"/>
  <c r="B34" i="5"/>
  <c r="B35" i="5"/>
  <c r="B36" i="5"/>
  <c r="B37" i="5"/>
  <c r="B38" i="5"/>
  <c r="B39" i="5"/>
  <c r="B40" i="5"/>
  <c r="B41" i="5"/>
  <c r="B42" i="5"/>
  <c r="B43" i="5"/>
  <c r="B44" i="5"/>
  <c r="B45" i="5"/>
  <c r="B46" i="5"/>
  <c r="F28" i="5"/>
  <c r="F29" i="5"/>
  <c r="F30" i="5"/>
  <c r="F31" i="5"/>
  <c r="F32" i="5"/>
  <c r="F33" i="5"/>
  <c r="F34" i="5"/>
  <c r="F35" i="5"/>
  <c r="F36" i="5"/>
  <c r="F37" i="5"/>
  <c r="F38" i="5"/>
  <c r="F39" i="5"/>
  <c r="F40" i="5"/>
  <c r="F41" i="5"/>
  <c r="F42" i="5"/>
  <c r="F43" i="5"/>
  <c r="F44" i="5"/>
  <c r="F45" i="5"/>
  <c r="F46" i="5"/>
  <c r="H28" i="5"/>
  <c r="H29" i="5"/>
  <c r="H30" i="5"/>
  <c r="H31" i="5"/>
  <c r="H32" i="5"/>
  <c r="H33" i="5"/>
  <c r="H34" i="5"/>
  <c r="H35" i="5"/>
  <c r="H36" i="5"/>
  <c r="H37" i="5"/>
  <c r="H38" i="5"/>
  <c r="H39" i="5"/>
  <c r="H40" i="5"/>
  <c r="H41" i="5"/>
  <c r="H42" i="5"/>
  <c r="H43" i="5"/>
  <c r="H44" i="5"/>
  <c r="H45" i="5"/>
  <c r="H46" i="5"/>
  <c r="L28" i="5"/>
  <c r="L29" i="5"/>
  <c r="K29" i="5" s="1"/>
  <c r="L30" i="5"/>
  <c r="L31" i="5"/>
  <c r="K31" i="5" s="1"/>
  <c r="L32" i="5"/>
  <c r="K32" i="5" s="1"/>
  <c r="L33" i="5"/>
  <c r="K33" i="5" s="1"/>
  <c r="L34" i="5"/>
  <c r="K34" i="5" s="1"/>
  <c r="L35" i="5"/>
  <c r="K35" i="5" s="1"/>
  <c r="L36" i="5"/>
  <c r="K36" i="5" s="1"/>
  <c r="L37" i="5"/>
  <c r="K37" i="5" s="1"/>
  <c r="L38" i="5"/>
  <c r="K38" i="5" s="1"/>
  <c r="L39" i="5"/>
  <c r="K39" i="5" s="1"/>
  <c r="L40" i="5"/>
  <c r="K40" i="5" s="1"/>
  <c r="L41" i="5"/>
  <c r="K41" i="5" s="1"/>
  <c r="L42" i="5"/>
  <c r="L43" i="5"/>
  <c r="L44" i="5"/>
  <c r="K44" i="5" s="1"/>
  <c r="L45" i="5"/>
  <c r="K45" i="5" s="1"/>
  <c r="L46" i="5"/>
  <c r="K46" i="5" s="1"/>
  <c r="M46" i="5"/>
  <c r="B21" i="15"/>
  <c r="B22" i="15"/>
  <c r="B23" i="15"/>
  <c r="B24" i="15"/>
  <c r="B25" i="15"/>
  <c r="B26" i="15"/>
  <c r="B27" i="15"/>
  <c r="B28" i="15"/>
  <c r="B29" i="15"/>
  <c r="B30" i="15"/>
  <c r="B31" i="15"/>
  <c r="B32" i="15"/>
  <c r="B33" i="15"/>
  <c r="B34" i="15"/>
  <c r="B29" i="10" l="1"/>
  <c r="B30" i="10"/>
  <c r="B31" i="10"/>
  <c r="B32" i="10"/>
  <c r="B13" i="8"/>
  <c r="B11" i="8"/>
  <c r="B10" i="8"/>
  <c r="B12" i="8"/>
  <c r="B7" i="8"/>
  <c r="B8" i="8"/>
  <c r="B4" i="8"/>
  <c r="B5" i="8"/>
  <c r="B14" i="8"/>
  <c r="B6" i="8"/>
  <c r="B9" i="8"/>
  <c r="B17" i="8"/>
  <c r="B15" i="8"/>
  <c r="B16" i="8"/>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7" i="15"/>
  <c r="B8" i="15"/>
  <c r="B9" i="15"/>
  <c r="B10" i="15"/>
  <c r="B11" i="15"/>
  <c r="B12" i="15"/>
  <c r="B13" i="15"/>
  <c r="B14" i="15"/>
  <c r="B15" i="15"/>
  <c r="B16" i="15"/>
  <c r="B17" i="15"/>
  <c r="B18" i="15"/>
  <c r="B19" i="15"/>
  <c r="B20" i="15"/>
  <c r="B5" i="15"/>
  <c r="B6" i="15"/>
  <c r="B11" i="5" l="1"/>
  <c r="B27" i="5"/>
  <c r="F11" i="5"/>
  <c r="F27" i="5"/>
  <c r="H11" i="5"/>
  <c r="H27" i="5"/>
  <c r="L11" i="5"/>
  <c r="L27" i="5"/>
  <c r="K27" i="5" s="1"/>
  <c r="B4" i="4"/>
  <c r="B23" i="4"/>
  <c r="B24" i="4"/>
  <c r="F8" i="5" l="1"/>
  <c r="F9" i="5"/>
  <c r="F12" i="5"/>
  <c r="F13" i="5"/>
  <c r="F14" i="5"/>
  <c r="F15" i="5"/>
  <c r="F16" i="5"/>
  <c r="F17" i="5"/>
  <c r="F18" i="5"/>
  <c r="F19" i="5"/>
  <c r="F20" i="5"/>
  <c r="F21" i="5"/>
  <c r="F22" i="5"/>
  <c r="F23" i="5"/>
  <c r="F24" i="5"/>
  <c r="F25" i="5"/>
  <c r="F26" i="5"/>
  <c r="F6" i="5"/>
  <c r="F7" i="5"/>
  <c r="F10" i="5"/>
  <c r="L8" i="5" l="1"/>
  <c r="L9" i="5"/>
  <c r="L12" i="5"/>
  <c r="L13" i="5"/>
  <c r="L14" i="5"/>
  <c r="L15" i="5"/>
  <c r="L16" i="5"/>
  <c r="L17" i="5"/>
  <c r="L18" i="5"/>
  <c r="L19" i="5"/>
  <c r="L20" i="5"/>
  <c r="L21" i="5"/>
  <c r="L22" i="5"/>
  <c r="L23" i="5"/>
  <c r="L24" i="5"/>
  <c r="L25" i="5"/>
  <c r="L26" i="5"/>
  <c r="L6" i="5"/>
  <c r="L7" i="5"/>
  <c r="L10" i="5"/>
  <c r="H8" i="5"/>
  <c r="H9" i="5"/>
  <c r="H12" i="5"/>
  <c r="H13" i="5"/>
  <c r="H14" i="5"/>
  <c r="H15" i="5"/>
  <c r="H16" i="5"/>
  <c r="H17" i="5"/>
  <c r="H18" i="5"/>
  <c r="H19" i="5"/>
  <c r="H20" i="5"/>
  <c r="H21" i="5"/>
  <c r="H22" i="5"/>
  <c r="H23" i="5"/>
  <c r="H24" i="5"/>
  <c r="H25" i="5"/>
  <c r="H26" i="5"/>
  <c r="H6" i="5"/>
  <c r="H7" i="5"/>
  <c r="H10" i="5"/>
  <c r="I23" i="15" l="1"/>
  <c r="I30" i="15"/>
  <c r="J21" i="15"/>
  <c r="J26" i="15"/>
  <c r="I26" i="15"/>
  <c r="J30" i="15"/>
  <c r="I24" i="15"/>
  <c r="J27" i="15"/>
  <c r="J33" i="15"/>
  <c r="J24" i="15"/>
  <c r="I25" i="15"/>
  <c r="J28" i="15"/>
  <c r="J34" i="15"/>
  <c r="J29" i="15"/>
  <c r="I21" i="15"/>
  <c r="J23" i="15"/>
  <c r="I33" i="15"/>
  <c r="I29" i="15"/>
  <c r="I27" i="15"/>
  <c r="I28" i="15"/>
  <c r="I34" i="15"/>
  <c r="J25" i="15"/>
  <c r="J8" i="15"/>
  <c r="J10" i="15"/>
  <c r="I6" i="15"/>
  <c r="I8" i="15"/>
  <c r="I10" i="15"/>
  <c r="J6" i="15"/>
  <c r="D37" i="8"/>
  <c r="C33" i="10"/>
  <c r="C37" i="8"/>
  <c r="E34" i="8" l="1"/>
  <c r="E35" i="8"/>
  <c r="E18" i="8"/>
  <c r="E22" i="8"/>
  <c r="C31" i="5" s="1"/>
  <c r="E29" i="8"/>
  <c r="C39" i="5" s="1"/>
  <c r="E23" i="8"/>
  <c r="C32" i="5" s="1"/>
  <c r="E30" i="8"/>
  <c r="C40" i="5" s="1"/>
  <c r="E25" i="8"/>
  <c r="C35" i="5" s="1"/>
  <c r="E19" i="8"/>
  <c r="E24" i="8"/>
  <c r="E31" i="8"/>
  <c r="C42" i="5"/>
  <c r="E20" i="8"/>
  <c r="C43" i="5"/>
  <c r="E26" i="8"/>
  <c r="C36" i="5" s="1"/>
  <c r="E32" i="8"/>
  <c r="C44" i="5" s="1"/>
  <c r="E21" i="8"/>
  <c r="E27" i="8"/>
  <c r="C37" i="5" s="1"/>
  <c r="E33" i="8"/>
  <c r="C45" i="5" s="1"/>
  <c r="E28" i="8"/>
  <c r="C38" i="5" s="1"/>
  <c r="E36" i="8"/>
  <c r="C46" i="5" s="1"/>
  <c r="E12" i="8"/>
  <c r="E14" i="8"/>
  <c r="E17" i="8"/>
  <c r="E15" i="8"/>
  <c r="C20" i="5" s="1"/>
  <c r="E16" i="8"/>
  <c r="C23" i="5"/>
  <c r="E9" i="8"/>
  <c r="E13" i="8"/>
  <c r="C24" i="5" s="1"/>
  <c r="E6" i="8"/>
  <c r="E10" i="8"/>
  <c r="E5" i="8"/>
  <c r="C26" i="5"/>
  <c r="E8" i="8"/>
  <c r="E7" i="8"/>
  <c r="E11" i="8"/>
  <c r="E4" i="8"/>
  <c r="C34" i="5" l="1"/>
  <c r="C29" i="5"/>
  <c r="C41" i="5"/>
  <c r="C33" i="5"/>
  <c r="C28" i="5"/>
  <c r="C30" i="5"/>
  <c r="C13" i="5"/>
  <c r="C27" i="5"/>
  <c r="C9" i="5"/>
  <c r="C19" i="5"/>
  <c r="C22" i="5"/>
  <c r="C12" i="5"/>
  <c r="C16" i="5"/>
  <c r="C17" i="5"/>
  <c r="C14" i="5"/>
  <c r="C25" i="5"/>
  <c r="C18" i="5"/>
  <c r="C11" i="5"/>
  <c r="C21" i="5"/>
  <c r="C15" i="5"/>
  <c r="C10" i="5"/>
  <c r="C7" i="5"/>
  <c r="C6" i="5"/>
  <c r="C8" i="5"/>
  <c r="E37" i="8"/>
  <c r="B18" i="9"/>
  <c r="C4" i="5" s="1"/>
  <c r="D39" i="5" s="1"/>
  <c r="E39" i="5" s="1"/>
  <c r="G39" i="5" s="1"/>
  <c r="B7" i="4"/>
  <c r="B12" i="5"/>
  <c r="B13" i="5"/>
  <c r="B14" i="5"/>
  <c r="B15" i="5"/>
  <c r="B16" i="5"/>
  <c r="B17" i="5"/>
  <c r="B18" i="5"/>
  <c r="B19" i="5"/>
  <c r="B20" i="5"/>
  <c r="B21" i="5"/>
  <c r="B22" i="5"/>
  <c r="B23" i="5"/>
  <c r="B24" i="5"/>
  <c r="B25" i="5"/>
  <c r="B26" i="5"/>
  <c r="B8" i="5"/>
  <c r="B9" i="5"/>
  <c r="B6" i="5"/>
  <c r="B7" i="5"/>
  <c r="B10" i="5"/>
  <c r="K10" i="5"/>
  <c r="K8" i="5"/>
  <c r="K25" i="5"/>
  <c r="K13" i="5"/>
  <c r="K12" i="5"/>
  <c r="B8" i="4"/>
  <c r="B9" i="4"/>
  <c r="B10" i="4"/>
  <c r="B11" i="4"/>
  <c r="B12" i="4"/>
  <c r="B13" i="4"/>
  <c r="B14" i="4"/>
  <c r="B15" i="4"/>
  <c r="B16" i="4"/>
  <c r="B17" i="4"/>
  <c r="B18" i="4"/>
  <c r="B19" i="4"/>
  <c r="B5" i="4"/>
  <c r="B6" i="4"/>
  <c r="B20" i="4"/>
  <c r="B21" i="4"/>
  <c r="B22" i="4"/>
  <c r="D33" i="5" l="1"/>
  <c r="E33" i="5" s="1"/>
  <c r="G33" i="5" s="1"/>
  <c r="I33" i="5" s="1"/>
  <c r="J33" i="5" s="1"/>
  <c r="D29" i="5"/>
  <c r="E29" i="5" s="1"/>
  <c r="G29" i="5" s="1"/>
  <c r="I29" i="5" s="1"/>
  <c r="J29" i="5" s="1"/>
  <c r="K30" i="5" s="1"/>
  <c r="D43" i="5"/>
  <c r="E43" i="5" s="1"/>
  <c r="G43" i="5" s="1"/>
  <c r="D45" i="5"/>
  <c r="E45" i="5" s="1"/>
  <c r="G45" i="5" s="1"/>
  <c r="C34" i="15" s="1"/>
  <c r="D32" i="5"/>
  <c r="E32" i="5" s="1"/>
  <c r="G32" i="5" s="1"/>
  <c r="D35" i="5"/>
  <c r="E35" i="5" s="1"/>
  <c r="G35" i="5" s="1"/>
  <c r="D42" i="5"/>
  <c r="E42" i="5" s="1"/>
  <c r="G42" i="5" s="1"/>
  <c r="D41" i="5"/>
  <c r="E41" i="5" s="1"/>
  <c r="G41" i="5" s="1"/>
  <c r="I41" i="5" s="1"/>
  <c r="J41" i="5" s="1"/>
  <c r="K43" i="5" s="1"/>
  <c r="I32" i="15" s="1"/>
  <c r="D40" i="5"/>
  <c r="E40" i="5" s="1"/>
  <c r="G40" i="5" s="1"/>
  <c r="I40" i="5" s="1"/>
  <c r="J40" i="5" s="1"/>
  <c r="K42" i="5" s="1"/>
  <c r="I31" i="15" s="1"/>
  <c r="C30" i="15"/>
  <c r="I39" i="5"/>
  <c r="J39" i="5" s="1"/>
  <c r="D34" i="5"/>
  <c r="E34" i="5" s="1"/>
  <c r="G34" i="5" s="1"/>
  <c r="D44" i="5"/>
  <c r="E44" i="5" s="1"/>
  <c r="G44" i="5" s="1"/>
  <c r="D38" i="5"/>
  <c r="E38" i="5" s="1"/>
  <c r="G38" i="5" s="1"/>
  <c r="D31" i="5"/>
  <c r="E31" i="5" s="1"/>
  <c r="G31" i="5" s="1"/>
  <c r="C32" i="15"/>
  <c r="D30" i="5"/>
  <c r="E30" i="5" s="1"/>
  <c r="G30" i="5" s="1"/>
  <c r="D37" i="5"/>
  <c r="E37" i="5" s="1"/>
  <c r="G37" i="5" s="1"/>
  <c r="D36" i="5"/>
  <c r="E36" i="5" s="1"/>
  <c r="G36" i="5" s="1"/>
  <c r="D28" i="5"/>
  <c r="E28" i="5" s="1"/>
  <c r="G28" i="5" s="1"/>
  <c r="D46" i="5"/>
  <c r="E46" i="5" s="1"/>
  <c r="G46" i="5" s="1"/>
  <c r="I46" i="5" s="1"/>
  <c r="C22" i="15"/>
  <c r="C25" i="15"/>
  <c r="D11" i="5"/>
  <c r="E11" i="5" s="1"/>
  <c r="G11" i="5" s="1"/>
  <c r="I11" i="5" s="1"/>
  <c r="J11" i="5" s="1"/>
  <c r="D25" i="15"/>
  <c r="M33" i="5"/>
  <c r="C31" i="4" s="1"/>
  <c r="M29" i="5"/>
  <c r="C27" i="4" s="1"/>
  <c r="D22" i="15"/>
  <c r="J22" i="15"/>
  <c r="I22" i="15"/>
  <c r="D30" i="15"/>
  <c r="M39" i="5"/>
  <c r="C37" i="4" s="1"/>
  <c r="D31" i="15"/>
  <c r="M40" i="5"/>
  <c r="C38" i="4" s="1"/>
  <c r="D27" i="5"/>
  <c r="E27" i="5" s="1"/>
  <c r="G27" i="5" s="1"/>
  <c r="F47" i="5"/>
  <c r="D9" i="5"/>
  <c r="E9" i="5" s="1"/>
  <c r="G9" i="5" s="1"/>
  <c r="D32" i="15" l="1"/>
  <c r="G32" i="15" s="1"/>
  <c r="I45" i="5"/>
  <c r="J45" i="5" s="1"/>
  <c r="J32" i="15"/>
  <c r="I34" i="5"/>
  <c r="M41" i="5"/>
  <c r="C39" i="4" s="1"/>
  <c r="J46" i="5"/>
  <c r="I42" i="5"/>
  <c r="J31" i="15"/>
  <c r="I35" i="5"/>
  <c r="C26" i="15"/>
  <c r="E30" i="15"/>
  <c r="K30" i="15" s="1"/>
  <c r="I32" i="5"/>
  <c r="C24" i="15"/>
  <c r="C31" i="15"/>
  <c r="E31" i="15" s="1"/>
  <c r="I43" i="5"/>
  <c r="I31" i="5"/>
  <c r="C23" i="15"/>
  <c r="E22" i="15"/>
  <c r="K22" i="15" s="1"/>
  <c r="C29" i="15"/>
  <c r="I38" i="5"/>
  <c r="C33" i="15"/>
  <c r="I44" i="5"/>
  <c r="I36" i="5"/>
  <c r="C27" i="15"/>
  <c r="I37" i="5"/>
  <c r="C28" i="15"/>
  <c r="I28" i="5"/>
  <c r="I30" i="5"/>
  <c r="E25" i="15"/>
  <c r="K25" i="15" s="1"/>
  <c r="G30" i="15"/>
  <c r="M30" i="15" s="1"/>
  <c r="F30" i="15"/>
  <c r="L30" i="15" s="1"/>
  <c r="H30" i="15"/>
  <c r="N30" i="15" s="1"/>
  <c r="F22" i="15"/>
  <c r="L22" i="15" s="1"/>
  <c r="G22" i="15"/>
  <c r="M22" i="15" s="1"/>
  <c r="H22" i="15"/>
  <c r="H31" i="15"/>
  <c r="F31" i="15"/>
  <c r="L31" i="15" s="1"/>
  <c r="G31" i="15"/>
  <c r="G25" i="15"/>
  <c r="M25" i="15" s="1"/>
  <c r="H25" i="15"/>
  <c r="F25" i="15"/>
  <c r="L25" i="15" s="1"/>
  <c r="I27" i="5"/>
  <c r="C21" i="15"/>
  <c r="I9" i="5"/>
  <c r="D8" i="5"/>
  <c r="E8" i="5" s="1"/>
  <c r="G8" i="5" s="1"/>
  <c r="D16" i="5"/>
  <c r="E16" i="5" s="1"/>
  <c r="G16" i="5" s="1"/>
  <c r="D17" i="5"/>
  <c r="E17" i="5" s="1"/>
  <c r="G17" i="5" s="1"/>
  <c r="D15" i="5"/>
  <c r="E15" i="5" s="1"/>
  <c r="G15" i="5" s="1"/>
  <c r="D26" i="5"/>
  <c r="E26" i="5" s="1"/>
  <c r="G26" i="5" s="1"/>
  <c r="D21" i="5"/>
  <c r="E21" i="5" s="1"/>
  <c r="G21" i="5" s="1"/>
  <c r="D22" i="5"/>
  <c r="E22" i="5" s="1"/>
  <c r="G22" i="5" s="1"/>
  <c r="D6" i="5"/>
  <c r="E6" i="5" s="1"/>
  <c r="G6" i="5" s="1"/>
  <c r="C8" i="15" s="1"/>
  <c r="D20" i="5"/>
  <c r="E20" i="5" s="1"/>
  <c r="G20" i="5" s="1"/>
  <c r="D24" i="5"/>
  <c r="E24" i="5" s="1"/>
  <c r="G24" i="5" s="1"/>
  <c r="D18" i="5"/>
  <c r="E18" i="5" s="1"/>
  <c r="G18" i="5" s="1"/>
  <c r="D10" i="5"/>
  <c r="E10" i="5" s="1"/>
  <c r="G10" i="5" s="1"/>
  <c r="D13" i="5"/>
  <c r="E13" i="5" s="1"/>
  <c r="G13" i="5" s="1"/>
  <c r="D25" i="5"/>
  <c r="E25" i="5" s="1"/>
  <c r="G25" i="5" s="1"/>
  <c r="D23" i="5"/>
  <c r="E23" i="5" s="1"/>
  <c r="G23" i="5" s="1"/>
  <c r="D19" i="5"/>
  <c r="E19" i="5" s="1"/>
  <c r="G19" i="5" s="1"/>
  <c r="D14" i="5"/>
  <c r="E14" i="5" s="1"/>
  <c r="G14" i="5" s="1"/>
  <c r="D7" i="5"/>
  <c r="E7" i="5" s="1"/>
  <c r="G7" i="5" s="1"/>
  <c r="E32" i="15" l="1"/>
  <c r="K32" i="15" s="1"/>
  <c r="F32" i="15"/>
  <c r="L32" i="15" s="1"/>
  <c r="H32" i="15"/>
  <c r="M45" i="5"/>
  <c r="C43" i="4" s="1"/>
  <c r="D34" i="15"/>
  <c r="M32" i="15"/>
  <c r="K31" i="15"/>
  <c r="N31" i="15" s="1"/>
  <c r="M31" i="15"/>
  <c r="J34" i="5"/>
  <c r="M34" i="5"/>
  <c r="C32" i="4" s="1"/>
  <c r="J32" i="5"/>
  <c r="M32" i="5"/>
  <c r="C30" i="4" s="1"/>
  <c r="D24" i="15"/>
  <c r="J43" i="5"/>
  <c r="M43" i="5"/>
  <c r="C41" i="4" s="1"/>
  <c r="J35" i="5"/>
  <c r="M35" i="5"/>
  <c r="C33" i="4" s="1"/>
  <c r="D26" i="15"/>
  <c r="J42" i="5"/>
  <c r="M42" i="5"/>
  <c r="C40" i="4" s="1"/>
  <c r="N22" i="15"/>
  <c r="D27" i="15"/>
  <c r="M36" i="5"/>
  <c r="C34" i="4" s="1"/>
  <c r="J36" i="5"/>
  <c r="M38" i="5"/>
  <c r="C36" i="4" s="1"/>
  <c r="D29" i="15"/>
  <c r="J38" i="5"/>
  <c r="N25" i="15"/>
  <c r="J28" i="5"/>
  <c r="J37" i="5"/>
  <c r="D28" i="15"/>
  <c r="M37" i="5"/>
  <c r="C35" i="4" s="1"/>
  <c r="M44" i="5"/>
  <c r="C42" i="4" s="1"/>
  <c r="D33" i="15"/>
  <c r="J44" i="5"/>
  <c r="M30" i="5"/>
  <c r="C28" i="4" s="1"/>
  <c r="J30" i="5"/>
  <c r="J31" i="5"/>
  <c r="D23" i="15"/>
  <c r="M31" i="5"/>
  <c r="C29" i="4" s="1"/>
  <c r="C17" i="15"/>
  <c r="C7" i="15"/>
  <c r="J27" i="5"/>
  <c r="D21" i="15"/>
  <c r="E21" i="15" s="1"/>
  <c r="K21" i="15" s="1"/>
  <c r="M27" i="5"/>
  <c r="C25" i="4" s="1"/>
  <c r="C10" i="15"/>
  <c r="C12" i="15"/>
  <c r="C18" i="15"/>
  <c r="C14" i="15"/>
  <c r="C15" i="15"/>
  <c r="C20" i="15"/>
  <c r="C5" i="15"/>
  <c r="C13" i="15"/>
  <c r="C11" i="15"/>
  <c r="C6" i="15"/>
  <c r="C19" i="15"/>
  <c r="C16" i="15"/>
  <c r="I6" i="5"/>
  <c r="D8" i="15" s="1"/>
  <c r="I10" i="5"/>
  <c r="I21" i="5"/>
  <c r="I18" i="5"/>
  <c r="I8" i="5"/>
  <c r="I25" i="5"/>
  <c r="I22" i="5"/>
  <c r="I16" i="5"/>
  <c r="I19" i="5"/>
  <c r="I24" i="5"/>
  <c r="I26" i="5"/>
  <c r="I14" i="5"/>
  <c r="I15" i="5"/>
  <c r="I17" i="5"/>
  <c r="I13" i="5"/>
  <c r="I7" i="5"/>
  <c r="C47" i="5"/>
  <c r="D12" i="5"/>
  <c r="I23" i="5"/>
  <c r="I20" i="5"/>
  <c r="J9" i="5"/>
  <c r="N32" i="15" l="1"/>
  <c r="E34" i="15"/>
  <c r="K34" i="15" s="1"/>
  <c r="H34" i="15"/>
  <c r="N34" i="15" s="1"/>
  <c r="F34" i="15"/>
  <c r="L34" i="15" s="1"/>
  <c r="G34" i="15"/>
  <c r="M34" i="15" s="1"/>
  <c r="E26" i="15"/>
  <c r="K26" i="15" s="1"/>
  <c r="H26" i="15"/>
  <c r="G26" i="15"/>
  <c r="M26" i="15" s="1"/>
  <c r="F26" i="15"/>
  <c r="L26" i="15" s="1"/>
  <c r="E24" i="15"/>
  <c r="K24" i="15" s="1"/>
  <c r="H24" i="15"/>
  <c r="G24" i="15"/>
  <c r="M24" i="15" s="1"/>
  <c r="F24" i="15"/>
  <c r="L24" i="15" s="1"/>
  <c r="F33" i="15"/>
  <c r="L33" i="15" s="1"/>
  <c r="G33" i="15"/>
  <c r="M33" i="15" s="1"/>
  <c r="H33" i="15"/>
  <c r="E29" i="15"/>
  <c r="K29" i="15" s="1"/>
  <c r="H29" i="15"/>
  <c r="F29" i="15"/>
  <c r="L29" i="15" s="1"/>
  <c r="G29" i="15"/>
  <c r="M29" i="15" s="1"/>
  <c r="E28" i="15"/>
  <c r="K28" i="15" s="1"/>
  <c r="H28" i="15"/>
  <c r="F28" i="15"/>
  <c r="L28" i="15" s="1"/>
  <c r="G28" i="15"/>
  <c r="M28" i="15" s="1"/>
  <c r="G27" i="15"/>
  <c r="M27" i="15" s="1"/>
  <c r="F27" i="15"/>
  <c r="L27" i="15" s="1"/>
  <c r="H27" i="15"/>
  <c r="E27" i="15"/>
  <c r="K27" i="15" s="1"/>
  <c r="E23" i="15"/>
  <c r="K23" i="15" s="1"/>
  <c r="H23" i="15"/>
  <c r="F23" i="15"/>
  <c r="L23" i="15" s="1"/>
  <c r="G23" i="15"/>
  <c r="M23" i="15" s="1"/>
  <c r="E33" i="15"/>
  <c r="K33" i="15" s="1"/>
  <c r="D17" i="15"/>
  <c r="G17" i="15" s="1"/>
  <c r="H21" i="15"/>
  <c r="N21" i="15" s="1"/>
  <c r="G21" i="15"/>
  <c r="M21" i="15" s="1"/>
  <c r="F21" i="15"/>
  <c r="L21" i="15" s="1"/>
  <c r="O31" i="15"/>
  <c r="D14" i="15"/>
  <c r="H14" i="15" s="1"/>
  <c r="D18" i="15"/>
  <c r="G18" i="15" s="1"/>
  <c r="D16" i="15"/>
  <c r="F16" i="15" s="1"/>
  <c r="D15" i="15"/>
  <c r="F15" i="15" s="1"/>
  <c r="E8" i="15"/>
  <c r="K8" i="15" s="1"/>
  <c r="F8" i="15"/>
  <c r="L8" i="15" s="1"/>
  <c r="H8" i="15"/>
  <c r="G8" i="15"/>
  <c r="M8" i="15" s="1"/>
  <c r="D7" i="15"/>
  <c r="G7" i="15" s="1"/>
  <c r="D6" i="15"/>
  <c r="M25" i="5"/>
  <c r="C23" i="4" s="1"/>
  <c r="D19" i="15"/>
  <c r="M8" i="5"/>
  <c r="D5" i="15"/>
  <c r="M13" i="5"/>
  <c r="D10" i="15"/>
  <c r="D12" i="15"/>
  <c r="J19" i="5"/>
  <c r="D13" i="15"/>
  <c r="D20" i="15"/>
  <c r="D11" i="15"/>
  <c r="J10" i="5"/>
  <c r="K11" i="5" s="1"/>
  <c r="M10" i="5"/>
  <c r="J20" i="5"/>
  <c r="K21" i="5" s="1"/>
  <c r="J7" i="5"/>
  <c r="J16" i="5"/>
  <c r="J23" i="5"/>
  <c r="J13" i="5"/>
  <c r="K14" i="5" s="1"/>
  <c r="J22" i="5"/>
  <c r="K26" i="5" s="1"/>
  <c r="M26" i="5" s="1"/>
  <c r="C24" i="4" s="1"/>
  <c r="D47" i="5"/>
  <c r="E12" i="5"/>
  <c r="J17" i="5"/>
  <c r="J14" i="5"/>
  <c r="J24" i="5"/>
  <c r="J25" i="5"/>
  <c r="K28" i="5" s="1"/>
  <c r="J26" i="5"/>
  <c r="J18" i="5"/>
  <c r="K19" i="5" s="1"/>
  <c r="M19" i="5" s="1"/>
  <c r="J15" i="5"/>
  <c r="K16" i="5" s="1"/>
  <c r="J8" i="5"/>
  <c r="K9" i="5" s="1"/>
  <c r="M9" i="5" s="1"/>
  <c r="J21" i="5"/>
  <c r="J6" i="5"/>
  <c r="K7" i="5" s="1"/>
  <c r="N26" i="15" l="1"/>
  <c r="N24" i="15"/>
  <c r="N29" i="15"/>
  <c r="E17" i="15"/>
  <c r="N27" i="15"/>
  <c r="N33" i="15"/>
  <c r="N23" i="15"/>
  <c r="N28" i="15"/>
  <c r="F17" i="15"/>
  <c r="H17" i="15"/>
  <c r="K18" i="5"/>
  <c r="M18" i="5" s="1"/>
  <c r="K15" i="5"/>
  <c r="M15" i="5" s="1"/>
  <c r="M28" i="5"/>
  <c r="C26" i="4" s="1"/>
  <c r="J20" i="15"/>
  <c r="I20" i="15"/>
  <c r="I9" i="15"/>
  <c r="J9" i="15"/>
  <c r="M16" i="5"/>
  <c r="C11" i="4" s="1"/>
  <c r="H16" i="15"/>
  <c r="H15" i="15"/>
  <c r="E15" i="15"/>
  <c r="K22" i="5"/>
  <c r="I11" i="15"/>
  <c r="J11" i="15"/>
  <c r="M14" i="5"/>
  <c r="I5" i="15"/>
  <c r="J5" i="15"/>
  <c r="G14" i="15"/>
  <c r="E16" i="15"/>
  <c r="O32" i="15"/>
  <c r="G16" i="15"/>
  <c r="E14" i="15"/>
  <c r="F14" i="15"/>
  <c r="O30" i="15"/>
  <c r="H18" i="15"/>
  <c r="G15" i="15"/>
  <c r="F18" i="15"/>
  <c r="E7" i="15"/>
  <c r="E18" i="15"/>
  <c r="G6" i="15"/>
  <c r="M6" i="15" s="1"/>
  <c r="H6" i="15"/>
  <c r="F6" i="15"/>
  <c r="L6" i="15" s="1"/>
  <c r="F7" i="15"/>
  <c r="H7" i="15"/>
  <c r="N8" i="15"/>
  <c r="E6" i="15"/>
  <c r="K6" i="15" s="1"/>
  <c r="H20" i="15"/>
  <c r="F20" i="15"/>
  <c r="G20" i="15"/>
  <c r="E20" i="15"/>
  <c r="M11" i="5"/>
  <c r="I7" i="15"/>
  <c r="J7" i="15"/>
  <c r="H13" i="15"/>
  <c r="F13" i="15"/>
  <c r="G13" i="15"/>
  <c r="E13" i="15"/>
  <c r="G12" i="15"/>
  <c r="H12" i="15"/>
  <c r="F12" i="15"/>
  <c r="E12" i="15"/>
  <c r="G11" i="15"/>
  <c r="E11" i="15"/>
  <c r="F11" i="15"/>
  <c r="H11" i="15"/>
  <c r="M7" i="5"/>
  <c r="M21" i="5"/>
  <c r="C19" i="4" s="1"/>
  <c r="I14" i="15"/>
  <c r="J14" i="15"/>
  <c r="G19" i="15"/>
  <c r="H19" i="15"/>
  <c r="F19" i="15"/>
  <c r="E19" i="15"/>
  <c r="H10" i="15"/>
  <c r="F10" i="15"/>
  <c r="L10" i="15" s="1"/>
  <c r="E10" i="15"/>
  <c r="K10" i="15" s="1"/>
  <c r="G10" i="15"/>
  <c r="M10" i="15" s="1"/>
  <c r="G5" i="15"/>
  <c r="H5" i="15"/>
  <c r="F5" i="15"/>
  <c r="E5" i="15"/>
  <c r="K20" i="5"/>
  <c r="K23" i="5"/>
  <c r="K24" i="5"/>
  <c r="K17" i="5"/>
  <c r="K6" i="5"/>
  <c r="M6" i="5" s="1"/>
  <c r="E47" i="5"/>
  <c r="G12" i="5"/>
  <c r="I13" i="15" l="1"/>
  <c r="L13" i="15" s="1"/>
  <c r="J13" i="15"/>
  <c r="K13" i="15" s="1"/>
  <c r="N13" i="15" s="1"/>
  <c r="L20" i="15"/>
  <c r="K20" i="15"/>
  <c r="N20" i="15" s="1"/>
  <c r="M20" i="15"/>
  <c r="J19" i="15"/>
  <c r="M19" i="15" s="1"/>
  <c r="I19" i="15"/>
  <c r="L19" i="15" s="1"/>
  <c r="L7" i="15"/>
  <c r="M22" i="5"/>
  <c r="C20" i="4" s="1"/>
  <c r="I17" i="15"/>
  <c r="L17" i="15" s="1"/>
  <c r="J17" i="15"/>
  <c r="J15" i="15"/>
  <c r="K15" i="15" s="1"/>
  <c r="N15" i="15" s="1"/>
  <c r="I15" i="15"/>
  <c r="L15" i="15" s="1"/>
  <c r="K11" i="15"/>
  <c r="N11" i="15" s="1"/>
  <c r="M11" i="15"/>
  <c r="L11" i="15"/>
  <c r="L5" i="15"/>
  <c r="K5" i="15"/>
  <c r="N5" i="15" s="1"/>
  <c r="O27" i="15"/>
  <c r="M5" i="15"/>
  <c r="C4" i="4"/>
  <c r="M17" i="5"/>
  <c r="C14" i="4" s="1"/>
  <c r="I12" i="15"/>
  <c r="L12" i="15" s="1"/>
  <c r="J12" i="15"/>
  <c r="K12" i="15" s="1"/>
  <c r="N12" i="15" s="1"/>
  <c r="M20" i="5"/>
  <c r="C18" i="4" s="1"/>
  <c r="I18" i="15"/>
  <c r="L18" i="15" s="1"/>
  <c r="J18" i="15"/>
  <c r="M18" i="15" s="1"/>
  <c r="C8" i="4"/>
  <c r="L14" i="15"/>
  <c r="K14" i="15"/>
  <c r="N14" i="15" s="1"/>
  <c r="O33" i="15"/>
  <c r="O24" i="15"/>
  <c r="K7" i="15"/>
  <c r="N7" i="15" s="1"/>
  <c r="O21" i="15"/>
  <c r="O34" i="15"/>
  <c r="N6" i="15"/>
  <c r="O29" i="15" s="1"/>
  <c r="C9" i="15"/>
  <c r="C6" i="4"/>
  <c r="C17" i="4"/>
  <c r="N10" i="15"/>
  <c r="O8" i="15" s="1"/>
  <c r="M14" i="15"/>
  <c r="M23" i="5"/>
  <c r="C21" i="4" s="1"/>
  <c r="J16" i="15"/>
  <c r="I16" i="15"/>
  <c r="L16" i="15" s="1"/>
  <c r="M24" i="5"/>
  <c r="C16" i="4" s="1"/>
  <c r="M7" i="15"/>
  <c r="C12" i="4"/>
  <c r="C13" i="4"/>
  <c r="K47" i="5"/>
  <c r="I12" i="5"/>
  <c r="G47" i="5"/>
  <c r="M13" i="15" l="1"/>
  <c r="O13" i="15" s="1"/>
  <c r="K19" i="15"/>
  <c r="N19" i="15" s="1"/>
  <c r="O19" i="15" s="1"/>
  <c r="M15" i="15"/>
  <c r="O15" i="15" s="1"/>
  <c r="M17" i="15"/>
  <c r="K17" i="15"/>
  <c r="N17" i="15" s="1"/>
  <c r="C15" i="4"/>
  <c r="O22" i="15"/>
  <c r="O6" i="15"/>
  <c r="O10" i="15"/>
  <c r="O11" i="15"/>
  <c r="O20" i="15"/>
  <c r="O25" i="15"/>
  <c r="C22" i="4"/>
  <c r="K18" i="15"/>
  <c r="N18" i="15" s="1"/>
  <c r="M12" i="15"/>
  <c r="O26" i="15"/>
  <c r="C35" i="15"/>
  <c r="D9" i="15"/>
  <c r="H9" i="15" s="1"/>
  <c r="O5" i="15"/>
  <c r="J35" i="15"/>
  <c r="M16" i="15"/>
  <c r="K16" i="15"/>
  <c r="N16" i="15" s="1"/>
  <c r="O23" i="15"/>
  <c r="M12" i="5"/>
  <c r="I47" i="5"/>
  <c r="J12" i="5"/>
  <c r="J47" i="5" s="1"/>
  <c r="O18" i="15" l="1"/>
  <c r="O17" i="15"/>
  <c r="C9" i="4"/>
  <c r="C10" i="4"/>
  <c r="O12" i="15"/>
  <c r="O28" i="15"/>
  <c r="O16" i="15"/>
  <c r="E9" i="15"/>
  <c r="E35" i="15" s="1"/>
  <c r="G9" i="15"/>
  <c r="M9" i="15" s="1"/>
  <c r="D35" i="15"/>
  <c r="F9" i="15"/>
  <c r="L9" i="15" s="1"/>
  <c r="O14" i="15"/>
  <c r="C7" i="4"/>
  <c r="C5" i="4"/>
  <c r="M47" i="5"/>
  <c r="K9" i="15" l="1"/>
  <c r="K35" i="15" s="1"/>
  <c r="M35" i="15"/>
  <c r="G35" i="15"/>
  <c r="F35" i="15"/>
  <c r="H35" i="15"/>
  <c r="L35" i="15"/>
  <c r="C44" i="4"/>
  <c r="N9" i="15" l="1"/>
  <c r="N35" i="15" s="1"/>
  <c r="O7" i="15"/>
  <c r="O9" i="15" l="1"/>
</calcChain>
</file>

<file path=xl/sharedStrings.xml><?xml version="1.0" encoding="utf-8"?>
<sst xmlns="http://schemas.openxmlformats.org/spreadsheetml/2006/main" count="544" uniqueCount="224">
  <si>
    <t>Program Name</t>
  </si>
  <si>
    <t>Fed %</t>
  </si>
  <si>
    <t>State%</t>
  </si>
  <si>
    <t>08310059</t>
  </si>
  <si>
    <t>PROB WRAPAROUND AFTERCARE SERVICES</t>
  </si>
  <si>
    <t>N</t>
  </si>
  <si>
    <t>Y</t>
  </si>
  <si>
    <t>08860059</t>
  </si>
  <si>
    <t>PROB ADMINISTRATIVE QI SUPPORT UNDER 18 FED</t>
  </si>
  <si>
    <t>09160059</t>
  </si>
  <si>
    <t>08890059</t>
  </si>
  <si>
    <t xml:space="preserve">PROB RESOURCE FAMILY APPROVAL PROB </t>
  </si>
  <si>
    <t>08970059</t>
  </si>
  <si>
    <t>PROB RFA PROB NON FED</t>
  </si>
  <si>
    <t>09130059</t>
  </si>
  <si>
    <t>PROB ADMINISTRATIVE QI SUPPORT NMD FED</t>
  </si>
  <si>
    <t>09360059</t>
  </si>
  <si>
    <t>PROB ADMINISTRATIVE QI SUPPORT NON FED</t>
  </si>
  <si>
    <t>PROB ADMINISTRATIVE QI SUPPORT NMD NON FED</t>
  </si>
  <si>
    <t>09470059</t>
  </si>
  <si>
    <t>PROB CHILD &amp; FAMILY TEAM (CFT)</t>
  </si>
  <si>
    <t>09480059</t>
  </si>
  <si>
    <t>PROB CFT NON FED</t>
  </si>
  <si>
    <t>09550059</t>
  </si>
  <si>
    <t>PROB CFT NON FED DETENTION</t>
  </si>
  <si>
    <t>PROB CAPACITY BUILDING FED</t>
  </si>
  <si>
    <t>PROB CAPACITY BUILDING NON FED</t>
  </si>
  <si>
    <t>01270059</t>
  </si>
  <si>
    <t>PROB IVE CASE MANAGEMENT</t>
  </si>
  <si>
    <t>01280059</t>
  </si>
  <si>
    <t>PROB IVE PRE PLACEMENT PREV</t>
  </si>
  <si>
    <t>01300059</t>
  </si>
  <si>
    <t>PROB IVE TRAINING</t>
  </si>
  <si>
    <t>03990059</t>
  </si>
  <si>
    <t>PROB FED TRAINING PREVENT SEX TRAFFICKING</t>
  </si>
  <si>
    <t>05790059</t>
  </si>
  <si>
    <t>PROB MONTHLY VISITS/GROUP HOMES</t>
  </si>
  <si>
    <t>05810059</t>
  </si>
  <si>
    <t>PROB MONTHLY VISITS/GROUP HOMES NON FED</t>
  </si>
  <si>
    <t>08180059</t>
  </si>
  <si>
    <t>PROB EFC NON FED GHMV</t>
  </si>
  <si>
    <t>08440059</t>
  </si>
  <si>
    <t>PROB EFC GH MO VISITS</t>
  </si>
  <si>
    <t>08510059</t>
  </si>
  <si>
    <t>PROB EFC CASE MANAGEMENT</t>
  </si>
  <si>
    <t>08540059</t>
  </si>
  <si>
    <t>PROB EFC IVE TRAINING</t>
  </si>
  <si>
    <t>09290059</t>
  </si>
  <si>
    <t>PROB FED PREVENTING SEX TRAFFICKING &amp; RUNAWAY</t>
  </si>
  <si>
    <t>09520059</t>
  </si>
  <si>
    <t>PROB FED PREVENTING SEX TRAFFICKING–CANDIDATES</t>
  </si>
  <si>
    <t>10160059</t>
  </si>
  <si>
    <t>PROB IVE PREVENTION ADMIN</t>
  </si>
  <si>
    <t>10170059</t>
  </si>
  <si>
    <t>PROB IVE PREVENTION TRAINING</t>
  </si>
  <si>
    <t>10180059</t>
  </si>
  <si>
    <t>PROB FFPS STATE BLOCK GRANT PREVENTION ADMIN &amp; TRAINING</t>
  </si>
  <si>
    <t>10190059</t>
  </si>
  <si>
    <t>PROB FFPS STATE BLOCK GRANT PREVENTION SERVICES</t>
  </si>
  <si>
    <t>10610059</t>
  </si>
  <si>
    <t>PROB FLEXIBLE FAMILY SUPPORTS &amp; HOME BASED FC</t>
  </si>
  <si>
    <t>GENERIC</t>
  </si>
  <si>
    <t>PROB ONLY</t>
  </si>
  <si>
    <t>CECRIS PIN</t>
  </si>
  <si>
    <t>Program Title</t>
  </si>
  <si>
    <t>Notes</t>
  </si>
  <si>
    <t>Total</t>
  </si>
  <si>
    <t>Cost Pool:</t>
  </si>
  <si>
    <t>Allocable Hours</t>
  </si>
  <si>
    <t>Allocable Hours (%)</t>
  </si>
  <si>
    <t>Total Program Cost</t>
  </si>
  <si>
    <t>NonFed Cost Claimed</t>
  </si>
  <si>
    <t>Residual of PIN</t>
  </si>
  <si>
    <t>Person 1</t>
  </si>
  <si>
    <t>Person 2</t>
  </si>
  <si>
    <t>Person 3</t>
  </si>
  <si>
    <t>Person 4</t>
  </si>
  <si>
    <t>Person 5</t>
  </si>
  <si>
    <t>Person 6</t>
  </si>
  <si>
    <t>Person 7</t>
  </si>
  <si>
    <t>Person 8</t>
  </si>
  <si>
    <t>Person 9</t>
  </si>
  <si>
    <t>Person 10</t>
  </si>
  <si>
    <t>Person 11</t>
  </si>
  <si>
    <t>Person 12</t>
  </si>
  <si>
    <t>Person 13</t>
  </si>
  <si>
    <t>Person 14</t>
  </si>
  <si>
    <t>Person 15</t>
  </si>
  <si>
    <t>Amount</t>
  </si>
  <si>
    <t>Indirect Cost</t>
  </si>
  <si>
    <t>Non Fed Residual Of</t>
  </si>
  <si>
    <t>Non Fed Residual</t>
  </si>
  <si>
    <t>County %</t>
  </si>
  <si>
    <t>Cost Pool Staff</t>
  </si>
  <si>
    <t>All Hours</t>
  </si>
  <si>
    <t>Allocable Hours %</t>
  </si>
  <si>
    <t>Cost</t>
  </si>
  <si>
    <t>CLAIM SUMMARY</t>
  </si>
  <si>
    <t>Time Study Summary (For Cost Calculation Worksheet)</t>
  </si>
  <si>
    <t>Non Payroll Cost Summary</t>
  </si>
  <si>
    <t>Claimed Costs</t>
  </si>
  <si>
    <t>Indirect Rate:</t>
  </si>
  <si>
    <t>TIME STUDY</t>
  </si>
  <si>
    <t>SALARY COST POOL</t>
  </si>
  <si>
    <t>PAYROLL COST PER CECRIS PIN</t>
  </si>
  <si>
    <t>TOTAL PAYROLL COST</t>
  </si>
  <si>
    <t>TOTAL PROGRAM COST</t>
  </si>
  <si>
    <t>FED ELIGIBLE COST</t>
  </si>
  <si>
    <t>NON FEDERAL COST</t>
  </si>
  <si>
    <t>COST CLAIM SUMMARY</t>
  </si>
  <si>
    <t>COST CALCULATION WORKSHEET</t>
  </si>
  <si>
    <t>OVERVIEW OF CLAIM CALCULATION PROCESS</t>
  </si>
  <si>
    <t>TIME STUDY HOURS</t>
  </si>
  <si>
    <t xml:space="preserve">Summarize your time study data to show % of time for each CECRIS PIN, including the "Probation Only" category.  Allocable hours take out any paid time off and "generic" time study hours.  </t>
  </si>
  <si>
    <t>CECRIS PIN LOOKUP TABLE</t>
  </si>
  <si>
    <t>01190059</t>
  </si>
  <si>
    <t>PROB PUBLIC AGENCY IVE PASS THROUGH</t>
  </si>
  <si>
    <t>04180059</t>
  </si>
  <si>
    <t>PROB HBFC LOCP FED</t>
  </si>
  <si>
    <t>04200059</t>
  </si>
  <si>
    <t>PROB HBFC LOCP NON FED</t>
  </si>
  <si>
    <t>08450059</t>
  </si>
  <si>
    <t>PROB EFC PUBLIC AGENCY IVE PASS THROUGH</t>
  </si>
  <si>
    <t>08550059</t>
  </si>
  <si>
    <t>PROB EFC PROB IVE TRAINING ADMIN</t>
  </si>
  <si>
    <t>10880059</t>
  </si>
  <si>
    <t>10900059</t>
  </si>
  <si>
    <t>10890059</t>
  </si>
  <si>
    <t>10910059</t>
  </si>
  <si>
    <t>10920059</t>
  </si>
  <si>
    <t>10930059</t>
  </si>
  <si>
    <t>CLAIMED COSTS</t>
  </si>
  <si>
    <t>FED/STATE/COUNTY COST SHARES</t>
  </si>
  <si>
    <t>Total Cost</t>
  </si>
  <si>
    <t>Fed Eligible
Cost</t>
  </si>
  <si>
    <t>Non-Fed Eligible Cost</t>
  </si>
  <si>
    <t>Fed Share
Elig Cost</t>
  </si>
  <si>
    <t>State Share
Elig Cost</t>
  </si>
  <si>
    <t>County Share
Elig Cost</t>
  </si>
  <si>
    <t>Fed Share
Non Elig Cost</t>
  </si>
  <si>
    <t>State Share
Non Elig Cost</t>
  </si>
  <si>
    <t>County Share
Non Elig Cost</t>
  </si>
  <si>
    <t>Total Fed</t>
  </si>
  <si>
    <t>Total State</t>
  </si>
  <si>
    <t>Total County</t>
  </si>
  <si>
    <t>COST SHARING SUMMARY</t>
  </si>
  <si>
    <t>TAB DETAIL/INSTRUCTIONS</t>
  </si>
  <si>
    <t>PROGRAM NAME</t>
  </si>
  <si>
    <t/>
  </si>
  <si>
    <t>PROB FAM FIND DIR EXPEND OR PUBLIC 3RD PARTY IN KIND MATCH</t>
  </si>
  <si>
    <t>PROB FAM FIND INTERNAL PROB OR PRIVATE 3RD PARTY IN KIND MATCH</t>
  </si>
  <si>
    <t>PROB FAM FIND DIR EXPEND OR PUBLIC 3RD PARTY IN KIND MATCH NON FED</t>
  </si>
  <si>
    <t>PROB FAM FIND INTERNAL PROB OR PRIVATE 3RD PARTY IN KIND MATCH NON FED</t>
  </si>
  <si>
    <t>PROB FAM FIND TRAINING DIR EXPEND OR PUBLIC 3RD PARTY IN KIND MATCH</t>
  </si>
  <si>
    <t>PROB FAM FIND TRAINING INTERNAL PROB OR PRIVATE 3RD PARTY IN KIND MATCH</t>
  </si>
  <si>
    <t>10020059</t>
  </si>
  <si>
    <t>10030059</t>
  </si>
  <si>
    <t>DISCOUNT RATE</t>
  </si>
  <si>
    <t>NON ALLOC</t>
  </si>
  <si>
    <t>Non Allocable</t>
  </si>
  <si>
    <t>FED/STATE/COUNTY TOTAL</t>
  </si>
  <si>
    <t>00040059</t>
  </si>
  <si>
    <t>PROB PEER REVIEW (C3/14)</t>
  </si>
  <si>
    <t>07180059</t>
  </si>
  <si>
    <t>Discount Rate and Residual Pairs that apply to the Cost Calculation Tab</t>
  </si>
  <si>
    <t>These columns are from the Cost Calculation tab</t>
  </si>
  <si>
    <t xml:space="preserve">These columns work together to ensure any claimable non-federal cost codes are associated with the corresponding federal cost code. </t>
  </si>
  <si>
    <t>Federal Cost</t>
  </si>
  <si>
    <t>Non Fed Cost</t>
  </si>
  <si>
    <t>Apply Federal Discount Rate</t>
  </si>
  <si>
    <t>Discount Rate:</t>
  </si>
  <si>
    <t>Non Payroll Cost</t>
  </si>
  <si>
    <t>Claimable Cost</t>
  </si>
  <si>
    <t>Payroll Cost</t>
  </si>
  <si>
    <t xml:space="preserve">Claimable cost are transferred to the cost claim summary tab. </t>
  </si>
  <si>
    <t>PAYROLL cost</t>
  </si>
  <si>
    <t>NON PAYROLL cost</t>
  </si>
  <si>
    <t xml:space="preserve">Enter any non-payroll cost for each CECRIS PIN in the table. </t>
  </si>
  <si>
    <t xml:space="preserve">The Cost Claim Summary tab show the claimable cost for each CECRIS PIN.  These figures get sent to your child welfare agency for inclusion on the County Expense Claim form.  </t>
  </si>
  <si>
    <t xml:space="preserve">The Cost Calculation tab uses the payroll cost, non-payroll cost, and time study hours from the green tabs and applies the steps outlined in the yellow cells to calculate the claimable cost per CECRIS PIN. You will need to enter the indirect cost rate and the eligibility ratio.  </t>
  </si>
  <si>
    <t>Enter the salary cost for the quarter here.  You can include individual salaries or just enter the total on one line. Keep documentation for how you arrived at the cost pool amounts</t>
  </si>
  <si>
    <t xml:space="preserve">The CECRIS PIN Lookup table includes data for each CECRIS PIN including whether or not the eligibility ratio gets applied, which non-federal costs are reimbursed, and cost sharing ratios. The Cost Calculation tab applies this information automatically.   </t>
  </si>
  <si>
    <t>The Cost Claim Summary tab automatically calculates the reimbursement amounts from state and federal sources and the county share of the cost.</t>
  </si>
  <si>
    <t>Payroll Cost  + Indirect Cost = Total Payroll Cost</t>
  </si>
  <si>
    <t>NON PAYROLL COST PER CECRIS PIN</t>
  </si>
  <si>
    <t xml:space="preserve">Non-payroll  costs may be claimed, provided they are documented and clearly identifiable to a claimable Title IV-E activity.  Accurate records must be maintained. Like the payroll cost, non-payroll  costs must  be allocated to one of the CECRIS PINs. </t>
  </si>
  <si>
    <t>INDIRECT COSTS</t>
  </si>
  <si>
    <t>PAYROLL COST + INDIRECT COST + NON LABOR COST = TOTAL PROGRAM COST</t>
  </si>
  <si>
    <t xml:space="preserve">Total Cost x Federal Discount Rate = Federally Eligible Cost. </t>
  </si>
  <si>
    <t xml:space="preserve">Non Federal Cost = Total Program Cost - Federally Eligible Cost.  State funds will pay for some of these costs, so it is important to include them.  </t>
  </si>
  <si>
    <t>The cost pool for the quarter is multiplied by the Allocable % for each CECRIS PIN as measured in the time study to determine the payroll cost per CECRIS PIN.</t>
  </si>
  <si>
    <t>Indirect cost can be applied to payroll cost using an indirect cost rate (ICR), calculated as a percentage of indirect costs/direct costs.</t>
  </si>
  <si>
    <t>This summary and the cost calculation tab are sent to child welfare agency to include on the county claim.</t>
  </si>
  <si>
    <t>This cost calculation tab and the cost claim summary are sent to child welfare agency to include on the county claim.</t>
  </si>
  <si>
    <t>The cost pool is the total payroll cost from the payroll cost tab; cost pool x allocable hours % distributes cost by CECRIS PIN</t>
  </si>
  <si>
    <t>Indirect Cost Rate x Payroll Cost = Indirect Cost</t>
  </si>
  <si>
    <t>Total Program Cost is sum of Payroll, Indirect, and Non Payroll Costs</t>
  </si>
  <si>
    <t>Non Fed Cost = Total Cost less Federal Cost</t>
  </si>
  <si>
    <t>Non payroll costs are from the Non-Payroll Cost tab.</t>
  </si>
  <si>
    <t>Child welfare agency calculates the discount rate.  If apply ratio column is "Y", apply the discount rate to total cost to get federal cost.</t>
  </si>
  <si>
    <t>Payroll detail and how it is determined should be kepy for back-up/audit purposes. But onnly the total is applied to the Cost Calculation tab.</t>
  </si>
  <si>
    <t>The Allocable Hours % columns populate the Allocable Hours % column on the Cost Caclulation tab.  Note that allocable hours and % DO NOT include the non-allocable hours and generic hours</t>
  </si>
  <si>
    <t xml:space="preserve">These columns apply the Cost Sharing Ratios from the CECRIS PIN table to the Fed and Non-Fed Costs. Note that the county has a share of both. </t>
  </si>
  <si>
    <t xml:space="preserve">Note that the Non-Fed cost codes are not included; this is because they are included in columns I and J.  </t>
  </si>
  <si>
    <t>Cost Share Ratios that apply to the Cost Sharing Tab</t>
  </si>
  <si>
    <t xml:space="preserve">Salaries and benefits for staff performing Title IV-E activities are totaled for the quarter. The salaries and benefits for the staff who time study get included in the cost pool. The salaries and benefits for first line supervisors and clerical support who don't time study can also be in the cost pool as long as they are 100% dedicated to the same program area as the staff in the time study. Any staff included in the cost pool CAN NOT be also included in the indirect cost rate.  </t>
  </si>
  <si>
    <t>A time study determines the percentage of total time spent on IV-E and non-IV-E-related work activities as defined by CDSS using an 8-digit code: the first 4 digits are unique to each allowable activity; the second four digits identifies the associated program--for probation departments the second 4 digits are 0059 .  See the CECRIS PIN Lookup table tab for these codes and CFL references for each. All probation officers who carry a juvenile caseload must time study.  First line supervisors and clerical support staff do not have to time study as long as they are dedicated to the same program area as the probation officers witht the juvenile case loads.  (See CFL 14/15-29 for more information)</t>
  </si>
  <si>
    <t>CFL 05/06-26
CFL 19/20-98</t>
  </si>
  <si>
    <t>CFL 23/24-39</t>
  </si>
  <si>
    <t>CFL 11/12-32E</t>
  </si>
  <si>
    <t>CFL 22/23-52</t>
  </si>
  <si>
    <t>CFL 23/24-58</t>
  </si>
  <si>
    <t>CFL 24/25-09
CFL 18/19-58</t>
  </si>
  <si>
    <t>CFL 23/24-33</t>
  </si>
  <si>
    <t>CFL 23/24-83</t>
  </si>
  <si>
    <t>CFL 24/25-18</t>
  </si>
  <si>
    <t>CFL 21/22-68</t>
  </si>
  <si>
    <t>Refernce Documents</t>
  </si>
  <si>
    <t>CFL 14/15-29</t>
  </si>
  <si>
    <t>CFL 23/24-39
CFL 14/15-29</t>
  </si>
  <si>
    <t>FY21/22 CCAP
CFL 23/24-39
CFL 14/15-29</t>
  </si>
  <si>
    <t>CFL 11/12-18
CFL 11/12-39
CFL 14/15-29</t>
  </si>
  <si>
    <t>CFL 12/13-44
CFL 13/14-53
CFL 14/15-29</t>
  </si>
  <si>
    <t>CFL 23/24-77
CFL 23/24-81
CFL 14/15-29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</si>
</sst>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mm\-yyyy"/>
    <numFmt numFmtId="165" formatCode="0.0000"/>
    <numFmt numFmtId="166" formatCode="_(&quot;$&quot;* #,##0_);_(&quot;$&quot;* \(#,##0\);_(&quot;$&quot;* &quot;-&quot;??_);_(@_)"/>
    <numFmt numFmtId="167" formatCode="0.0000%"/>
    <numFmt numFmtId="168" formatCode="0.000"/>
    <numFmt numFmtId="169"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sz val="11"/>
      <name val="Aptos"/>
      <family val="2"/>
    </font>
    <font>
      <b/>
      <sz val="11"/>
      <name val="Aptos"/>
      <family val="2"/>
    </font>
    <font>
      <sz val="11"/>
      <color theme="1"/>
      <name val="Aptos"/>
      <family val="2"/>
    </font>
    <font>
      <b/>
      <sz val="12"/>
      <color theme="1"/>
      <name val="Aptos"/>
      <family val="2"/>
    </font>
    <font>
      <sz val="12"/>
      <color theme="1"/>
      <name val="Aptos"/>
      <family val="2"/>
    </font>
    <font>
      <sz val="12"/>
      <name val="Aptos"/>
      <family val="2"/>
    </font>
    <font>
      <b/>
      <sz val="12"/>
      <name val="Aptos"/>
      <family val="2"/>
    </font>
    <font>
      <b/>
      <sz val="12"/>
      <color theme="0"/>
      <name val="Aptos"/>
      <family val="2"/>
    </font>
  </fonts>
  <fills count="12">
    <fill>
      <patternFill patternType="none"/>
    </fill>
    <fill>
      <patternFill patternType="gray125"/>
    </fill>
    <fill>
      <patternFill patternType="solid">
        <fgColor theme="6" tint="0.59999389629810485"/>
        <bgColor indexed="65"/>
      </patternFill>
    </fill>
    <fill>
      <patternFill patternType="solid">
        <fgColor rgb="FFC00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4" fillId="0" borderId="0"/>
    <xf numFmtId="43" fontId="4" fillId="0" borderId="0" applyFont="0" applyFill="0" applyBorder="0" applyAlignment="0" applyProtection="0"/>
  </cellStyleXfs>
  <cellXfs count="147">
    <xf numFmtId="0" fontId="0" fillId="0" borderId="0" xfId="0"/>
    <xf numFmtId="0" fontId="0" fillId="0" borderId="0" xfId="0"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4" borderId="1" xfId="0" applyFill="1" applyBorder="1" applyAlignment="1">
      <alignment horizontal="left" vertical="center" wrapText="1"/>
    </xf>
    <xf numFmtId="0" fontId="0" fillId="5" borderId="1" xfId="0" applyFill="1" applyBorder="1" applyAlignment="1">
      <alignment horizontal="left" vertical="center" wrapText="1"/>
    </xf>
    <xf numFmtId="0" fontId="0" fillId="6" borderId="1" xfId="0" applyFill="1" applyBorder="1" applyAlignment="1">
      <alignment horizontal="left" vertical="center" wrapText="1"/>
    </xf>
    <xf numFmtId="0" fontId="0" fillId="0" borderId="4" xfId="0" applyBorder="1" applyAlignment="1">
      <alignment horizontal="left" vertical="center"/>
    </xf>
    <xf numFmtId="0" fontId="0" fillId="0" borderId="2" xfId="0" applyBorder="1" applyAlignment="1">
      <alignment horizontal="left" vertical="center"/>
    </xf>
    <xf numFmtId="0" fontId="7" fillId="0" borderId="0" xfId="0" applyFont="1" applyAlignment="1">
      <alignment horizontal="center" vertical="center" wrapText="1"/>
    </xf>
    <xf numFmtId="0" fontId="9" fillId="0" borderId="0" xfId="0" applyFont="1" applyAlignment="1">
      <alignment horizontal="left"/>
    </xf>
    <xf numFmtId="0" fontId="9" fillId="0" borderId="0" xfId="0" applyFont="1" applyAlignment="1">
      <alignment horizontal="center" vertical="center" wrapText="1"/>
    </xf>
    <xf numFmtId="2" fontId="9" fillId="0" borderId="0" xfId="0" applyNumberFormat="1" applyFont="1" applyAlignment="1">
      <alignment horizontal="center" vertical="center"/>
    </xf>
    <xf numFmtId="10" fontId="9" fillId="0" borderId="0" xfId="2" applyNumberFormat="1" applyFont="1" applyAlignment="1">
      <alignment horizontal="center" vertical="center"/>
    </xf>
    <xf numFmtId="2" fontId="9" fillId="0" borderId="0" xfId="0" applyNumberFormat="1" applyFont="1" applyAlignment="1">
      <alignment horizontal="left"/>
    </xf>
    <xf numFmtId="168" fontId="9" fillId="0" borderId="0" xfId="0" applyNumberFormat="1" applyFont="1"/>
    <xf numFmtId="0" fontId="5" fillId="0" borderId="0" xfId="0" applyFont="1" applyAlignment="1">
      <alignment horizontal="center" vertical="center" wrapText="1"/>
    </xf>
    <xf numFmtId="0" fontId="5" fillId="0" borderId="0" xfId="0" applyFont="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left" vertical="center"/>
    </xf>
    <xf numFmtId="1" fontId="10" fillId="0" borderId="0" xfId="0" applyNumberFormat="1" applyFont="1" applyAlignment="1">
      <alignment horizontal="left" vertical="center"/>
    </xf>
    <xf numFmtId="0" fontId="10" fillId="0" borderId="1" xfId="0" applyFont="1" applyBorder="1" applyAlignment="1">
      <alignment horizontal="left" vertical="center"/>
    </xf>
    <xf numFmtId="2" fontId="10" fillId="0" borderId="1" xfId="0" applyNumberFormat="1" applyFont="1" applyBorder="1" applyAlignment="1">
      <alignment horizontal="left" vertical="center"/>
    </xf>
    <xf numFmtId="0" fontId="10" fillId="0" borderId="1" xfId="0" quotePrefix="1" applyFont="1" applyBorder="1" applyAlignment="1">
      <alignment horizontal="left" vertical="center"/>
    </xf>
    <xf numFmtId="0" fontId="11" fillId="0" borderId="1" xfId="0" applyFont="1" applyBorder="1" applyAlignment="1">
      <alignment horizontal="center" vertical="center" wrapText="1"/>
    </xf>
    <xf numFmtId="0" fontId="10" fillId="4" borderId="1" xfId="0" applyFont="1" applyFill="1" applyBorder="1" applyAlignment="1">
      <alignment horizontal="left" vertical="center"/>
    </xf>
    <xf numFmtId="0" fontId="10" fillId="4" borderId="1" xfId="0" quotePrefix="1" applyFont="1" applyFill="1" applyBorder="1" applyAlignment="1">
      <alignment horizontal="left" vertical="center"/>
    </xf>
    <xf numFmtId="1" fontId="10" fillId="4" borderId="1" xfId="0" applyNumberFormat="1" applyFont="1" applyFill="1" applyBorder="1" applyAlignment="1">
      <alignment horizontal="left" vertical="center"/>
    </xf>
    <xf numFmtId="0" fontId="5" fillId="0" borderId="0" xfId="0" applyFont="1" applyAlignment="1">
      <alignment vertical="center"/>
    </xf>
    <xf numFmtId="164" fontId="5" fillId="0" borderId="0" xfId="0" applyNumberFormat="1" applyFont="1" applyAlignment="1">
      <alignment horizontal="left" vertical="center"/>
    </xf>
    <xf numFmtId="0" fontId="7" fillId="0" borderId="0" xfId="0" applyFont="1"/>
    <xf numFmtId="44" fontId="7" fillId="0" borderId="0" xfId="0" applyNumberFormat="1" applyFont="1"/>
    <xf numFmtId="0" fontId="5" fillId="0" borderId="0" xfId="0" applyFont="1"/>
    <xf numFmtId="0" fontId="6" fillId="0" borderId="0" xfId="0" applyFont="1" applyAlignment="1">
      <alignment horizontal="center" vertical="center" wrapText="1"/>
    </xf>
    <xf numFmtId="1" fontId="5" fillId="0" borderId="0" xfId="2" applyNumberFormat="1" applyFont="1" applyFill="1" applyAlignment="1">
      <alignment horizontal="left" vertical="top"/>
    </xf>
    <xf numFmtId="0" fontId="7" fillId="0" borderId="0" xfId="2" applyNumberFormat="1" applyFont="1" applyFill="1" applyAlignment="1"/>
    <xf numFmtId="44" fontId="7" fillId="6" borderId="0" xfId="0" applyNumberFormat="1" applyFont="1" applyFill="1"/>
    <xf numFmtId="44" fontId="7" fillId="6" borderId="0" xfId="2" applyNumberFormat="1" applyFont="1" applyFill="1" applyBorder="1" applyAlignment="1"/>
    <xf numFmtId="44" fontId="7" fillId="7" borderId="0" xfId="2" applyNumberFormat="1" applyFont="1" applyFill="1" applyBorder="1" applyAlignment="1"/>
    <xf numFmtId="44" fontId="7" fillId="7" borderId="0" xfId="2" applyNumberFormat="1" applyFont="1" applyFill="1" applyAlignment="1"/>
    <xf numFmtId="44" fontId="7" fillId="8" borderId="0" xfId="2" applyNumberFormat="1" applyFont="1" applyFill="1" applyAlignment="1"/>
    <xf numFmtId="44" fontId="7" fillId="0" borderId="0" xfId="2" applyNumberFormat="1" applyFont="1" applyFill="1" applyBorder="1" applyAlignment="1"/>
    <xf numFmtId="1" fontId="5" fillId="0" borderId="0" xfId="5" applyNumberFormat="1" applyFont="1" applyFill="1" applyAlignment="1">
      <alignment horizontal="left" vertical="top"/>
    </xf>
    <xf numFmtId="0" fontId="7" fillId="0" borderId="0" xfId="2" applyNumberFormat="1" applyFont="1" applyFill="1" applyBorder="1" applyAlignment="1"/>
    <xf numFmtId="44" fontId="7" fillId="7" borderId="0" xfId="2" applyNumberFormat="1" applyFont="1" applyFill="1" applyBorder="1" applyAlignment="1">
      <alignment wrapText="1"/>
    </xf>
    <xf numFmtId="44" fontId="7" fillId="8" borderId="0" xfId="2" applyNumberFormat="1" applyFont="1" applyFill="1" applyBorder="1" applyAlignment="1"/>
    <xf numFmtId="1" fontId="5" fillId="0" borderId="0" xfId="0" applyNumberFormat="1" applyFont="1" applyAlignment="1">
      <alignment horizontal="left" vertical="top"/>
    </xf>
    <xf numFmtId="1" fontId="5" fillId="0" borderId="0" xfId="5" applyNumberFormat="1" applyFont="1" applyFill="1" applyBorder="1" applyAlignment="1">
      <alignment horizontal="left" vertical="top"/>
    </xf>
    <xf numFmtId="166" fontId="7" fillId="0" borderId="0" xfId="0" applyNumberFormat="1" applyFont="1"/>
    <xf numFmtId="44" fontId="7" fillId="6" borderId="0" xfId="2" applyNumberFormat="1" applyFont="1" applyFill="1" applyAlignment="1"/>
    <xf numFmtId="0" fontId="10" fillId="0" borderId="0" xfId="0" applyFont="1"/>
    <xf numFmtId="0" fontId="9" fillId="0" borderId="0" xfId="0" applyFont="1"/>
    <xf numFmtId="167" fontId="11" fillId="0" borderId="1" xfId="0" applyNumberFormat="1" applyFont="1" applyBorder="1" applyAlignment="1">
      <alignment horizontal="center" vertical="center" wrapText="1"/>
    </xf>
    <xf numFmtId="43" fontId="11" fillId="0" borderId="1" xfId="1" applyFont="1" applyFill="1" applyBorder="1" applyAlignment="1">
      <alignment horizontal="center" vertical="center" wrapText="1"/>
    </xf>
    <xf numFmtId="43" fontId="8" fillId="0" borderId="1" xfId="3" applyNumberFormat="1" applyFont="1" applyFill="1" applyBorder="1" applyAlignment="1">
      <alignment horizontal="center" vertical="center" wrapText="1"/>
    </xf>
    <xf numFmtId="0" fontId="10" fillId="0" borderId="0" xfId="0" applyFont="1" applyAlignment="1">
      <alignment horizontal="right"/>
    </xf>
    <xf numFmtId="0" fontId="10" fillId="0" borderId="0" xfId="0" applyFont="1" applyAlignment="1">
      <alignment horizontal="left" vertical="top"/>
    </xf>
    <xf numFmtId="166" fontId="6" fillId="6" borderId="0" xfId="0" applyNumberFormat="1" applyFont="1" applyFill="1" applyAlignment="1">
      <alignment horizontal="center" vertical="center" wrapText="1"/>
    </xf>
    <xf numFmtId="166" fontId="6" fillId="7" borderId="0" xfId="1" applyNumberFormat="1" applyFont="1" applyFill="1" applyBorder="1" applyAlignment="1">
      <alignment horizontal="center" vertical="center" wrapText="1"/>
    </xf>
    <xf numFmtId="166" fontId="6" fillId="7" borderId="0" xfId="0" applyNumberFormat="1" applyFont="1" applyFill="1" applyAlignment="1">
      <alignment horizontal="center" vertical="center" wrapText="1"/>
    </xf>
    <xf numFmtId="166" fontId="6" fillId="8" borderId="0" xfId="0" applyNumberFormat="1" applyFont="1" applyFill="1" applyAlignment="1">
      <alignment horizontal="center" vertical="center" wrapText="1"/>
    </xf>
    <xf numFmtId="166" fontId="7" fillId="6" borderId="0" xfId="0" applyNumberFormat="1" applyFont="1" applyFill="1"/>
    <xf numFmtId="166" fontId="7" fillId="6" borderId="0" xfId="2" applyNumberFormat="1" applyFont="1" applyFill="1" applyBorder="1" applyAlignment="1"/>
    <xf numFmtId="166" fontId="7" fillId="7" borderId="0" xfId="2" applyNumberFormat="1" applyFont="1" applyFill="1" applyBorder="1" applyAlignment="1"/>
    <xf numFmtId="166" fontId="7" fillId="7" borderId="0" xfId="2" applyNumberFormat="1" applyFont="1" applyFill="1" applyAlignment="1"/>
    <xf numFmtId="166" fontId="7" fillId="8" borderId="0" xfId="2" applyNumberFormat="1" applyFont="1" applyFill="1" applyAlignment="1"/>
    <xf numFmtId="166" fontId="7" fillId="7" borderId="0" xfId="2" applyNumberFormat="1" applyFont="1" applyFill="1" applyBorder="1" applyAlignment="1">
      <alignment wrapText="1"/>
    </xf>
    <xf numFmtId="166" fontId="7" fillId="8" borderId="0" xfId="2" applyNumberFormat="1" applyFont="1" applyFill="1" applyBorder="1" applyAlignment="1"/>
    <xf numFmtId="166" fontId="5" fillId="0" borderId="0" xfId="0" applyNumberFormat="1" applyFont="1"/>
    <xf numFmtId="166" fontId="5" fillId="0" borderId="0" xfId="2" applyNumberFormat="1" applyFont="1" applyFill="1" applyBorder="1" applyAlignment="1"/>
    <xf numFmtId="168" fontId="10" fillId="9" borderId="1" xfId="0" applyNumberFormat="1" applyFont="1" applyFill="1" applyBorder="1" applyAlignment="1">
      <alignment horizontal="left" vertical="center"/>
    </xf>
    <xf numFmtId="44" fontId="9" fillId="0" borderId="0" xfId="0" applyNumberFormat="1" applyFont="1" applyAlignment="1">
      <alignment horizontal="left"/>
    </xf>
    <xf numFmtId="0" fontId="0" fillId="9" borderId="1" xfId="0" applyFill="1" applyBorder="1" applyAlignment="1">
      <alignment horizontal="left" vertical="center" wrapText="1"/>
    </xf>
    <xf numFmtId="0" fontId="10" fillId="0" borderId="0" xfId="4" applyFont="1" applyAlignment="1">
      <alignment horizontal="left" vertical="center" wrapText="1"/>
    </xf>
    <xf numFmtId="43" fontId="10" fillId="0" borderId="0" xfId="5" applyFont="1" applyFill="1" applyBorder="1" applyAlignment="1">
      <alignment horizontal="center" vertical="center" wrapText="1"/>
    </xf>
    <xf numFmtId="1" fontId="10" fillId="0" borderId="0" xfId="5" applyNumberFormat="1" applyFont="1" applyFill="1" applyBorder="1" applyAlignment="1">
      <alignment horizontal="left" vertical="center"/>
    </xf>
    <xf numFmtId="0" fontId="10" fillId="0" borderId="0" xfId="5" applyNumberFormat="1" applyFont="1" applyFill="1" applyBorder="1" applyAlignment="1">
      <alignment horizontal="left" vertical="center"/>
    </xf>
    <xf numFmtId="44" fontId="10" fillId="0" borderId="0" xfId="5" applyNumberFormat="1" applyFont="1" applyFill="1" applyBorder="1" applyAlignment="1">
      <alignment horizontal="left" vertical="center"/>
    </xf>
    <xf numFmtId="43" fontId="10" fillId="0" borderId="0" xfId="5" applyFont="1" applyFill="1" applyBorder="1" applyAlignment="1">
      <alignment horizontal="left" vertical="center" wrapText="1"/>
    </xf>
    <xf numFmtId="0" fontId="10" fillId="0" borderId="0" xfId="4" applyFont="1" applyAlignment="1">
      <alignment horizontal="left" vertical="center"/>
    </xf>
    <xf numFmtId="44" fontId="9" fillId="0" borderId="0" xfId="5" applyNumberFormat="1" applyFont="1" applyFill="1" applyBorder="1" applyAlignment="1">
      <alignment horizontal="left" vertical="center" wrapText="1"/>
    </xf>
    <xf numFmtId="0" fontId="9" fillId="0" borderId="0" xfId="0" applyFont="1" applyAlignment="1">
      <alignment horizontal="left" vertical="center"/>
    </xf>
    <xf numFmtId="0" fontId="9" fillId="0" borderId="0" xfId="0" quotePrefix="1" applyFont="1" applyAlignment="1">
      <alignment horizontal="left" vertical="center"/>
    </xf>
    <xf numFmtId="1" fontId="10" fillId="0" borderId="0" xfId="5" applyNumberFormat="1" applyFont="1" applyFill="1" applyAlignment="1">
      <alignment horizontal="left" vertical="center"/>
    </xf>
    <xf numFmtId="0" fontId="10" fillId="0" borderId="0" xfId="5" applyNumberFormat="1" applyFont="1" applyFill="1" applyAlignment="1">
      <alignment horizontal="left" vertical="center"/>
    </xf>
    <xf numFmtId="44" fontId="10" fillId="0" borderId="0" xfId="5" applyNumberFormat="1" applyFont="1" applyFill="1" applyAlignment="1">
      <alignment horizontal="left" vertical="center"/>
    </xf>
    <xf numFmtId="43" fontId="10" fillId="0" borderId="0" xfId="5" applyFont="1" applyFill="1" applyAlignment="1">
      <alignment horizontal="left" vertical="center" wrapText="1"/>
    </xf>
    <xf numFmtId="0" fontId="11" fillId="0" borderId="0" xfId="0" applyFont="1" applyAlignment="1">
      <alignment horizontal="left" vertical="center"/>
    </xf>
    <xf numFmtId="166" fontId="11" fillId="0" borderId="0" xfId="0" applyNumberFormat="1" applyFont="1" applyAlignment="1">
      <alignment horizontal="left" vertical="center"/>
    </xf>
    <xf numFmtId="0" fontId="10"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vertical="center"/>
    </xf>
    <xf numFmtId="10" fontId="10" fillId="0" borderId="0" xfId="2" applyNumberFormat="1" applyFont="1" applyFill="1" applyBorder="1" applyAlignment="1">
      <alignment horizontal="center" vertical="center"/>
    </xf>
    <xf numFmtId="166" fontId="10" fillId="0" borderId="0" xfId="1" applyNumberFormat="1" applyFont="1" applyFill="1" applyBorder="1" applyAlignment="1">
      <alignment horizontal="center" vertical="center"/>
    </xf>
    <xf numFmtId="1" fontId="10" fillId="0" borderId="0" xfId="1"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1" fontId="10" fillId="0" borderId="0" xfId="0" applyNumberFormat="1" applyFont="1" applyAlignment="1">
      <alignment horizontal="center" vertical="center"/>
    </xf>
    <xf numFmtId="166" fontId="10" fillId="0" borderId="0" xfId="1" applyNumberFormat="1" applyFont="1" applyFill="1" applyBorder="1" applyAlignment="1">
      <alignment horizontal="center" vertical="center" wrapText="1"/>
    </xf>
    <xf numFmtId="10" fontId="10" fillId="0" borderId="0" xfId="2" applyNumberFormat="1" applyFont="1" applyFill="1" applyAlignment="1">
      <alignment horizontal="center" vertical="center"/>
    </xf>
    <xf numFmtId="166" fontId="10" fillId="0" borderId="0" xfId="1" applyNumberFormat="1" applyFont="1" applyFill="1" applyAlignment="1">
      <alignment horizontal="center" vertical="center"/>
    </xf>
    <xf numFmtId="166" fontId="10" fillId="0" borderId="0" xfId="0" applyNumberFormat="1" applyFont="1" applyAlignment="1">
      <alignment horizontal="center" vertical="center"/>
    </xf>
    <xf numFmtId="166" fontId="9" fillId="0" borderId="0" xfId="3" applyNumberFormat="1" applyFont="1" applyFill="1" applyAlignment="1">
      <alignment horizontal="center" vertical="center"/>
    </xf>
    <xf numFmtId="165" fontId="10" fillId="0" borderId="0" xfId="0" applyNumberFormat="1" applyFont="1" applyAlignment="1">
      <alignment horizontal="center" vertical="center"/>
    </xf>
    <xf numFmtId="166" fontId="9" fillId="0" borderId="0" xfId="0" applyNumberFormat="1" applyFont="1" applyAlignment="1">
      <alignment horizontal="center" vertical="center"/>
    </xf>
    <xf numFmtId="167" fontId="10" fillId="0" borderId="0" xfId="0" applyNumberFormat="1" applyFont="1" applyAlignment="1">
      <alignment horizontal="center" vertical="center"/>
    </xf>
    <xf numFmtId="43" fontId="10" fillId="0" borderId="0" xfId="1" applyFont="1" applyFill="1" applyBorder="1" applyAlignment="1">
      <alignment horizontal="center" vertical="center"/>
    </xf>
    <xf numFmtId="0" fontId="11" fillId="0" borderId="1" xfId="0" applyFont="1" applyBorder="1" applyAlignment="1">
      <alignment horizontal="left" vertical="top"/>
    </xf>
    <xf numFmtId="165" fontId="12" fillId="3" borderId="1" xfId="0" applyNumberFormat="1" applyFont="1" applyFill="1" applyBorder="1" applyAlignment="1">
      <alignment horizontal="left" vertical="top"/>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1" fillId="0" borderId="5"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0" fillId="10" borderId="5" xfId="4" applyFont="1" applyFill="1" applyBorder="1" applyAlignment="1">
      <alignment horizontal="left" vertical="top" wrapText="1"/>
    </xf>
    <xf numFmtId="0" fontId="10" fillId="10" borderId="6" xfId="4" applyFont="1" applyFill="1" applyBorder="1" applyAlignment="1">
      <alignment horizontal="left" vertical="top" wrapText="1"/>
    </xf>
    <xf numFmtId="0" fontId="10" fillId="10" borderId="7" xfId="4" applyFont="1" applyFill="1" applyBorder="1" applyAlignment="1">
      <alignment horizontal="left" vertical="top" wrapText="1"/>
    </xf>
    <xf numFmtId="0" fontId="5" fillId="10" borderId="1" xfId="0" applyFont="1" applyFill="1" applyBorder="1" applyAlignment="1">
      <alignment horizontal="left" vertical="top" wrapText="1"/>
    </xf>
    <xf numFmtId="0" fontId="5" fillId="0" borderId="1" xfId="0" applyFont="1" applyBorder="1" applyAlignment="1">
      <alignment horizontal="center" vertical="center"/>
    </xf>
    <xf numFmtId="43" fontId="5" fillId="10" borderId="1" xfId="1" applyFont="1" applyFill="1" applyBorder="1" applyAlignment="1">
      <alignment horizontal="left" vertical="top" wrapText="1"/>
    </xf>
    <xf numFmtId="0" fontId="10" fillId="0" borderId="1" xfId="0" applyFont="1" applyBorder="1" applyAlignment="1">
      <alignment horizontal="center" vertical="top"/>
    </xf>
    <xf numFmtId="167" fontId="5" fillId="10" borderId="1" xfId="0" applyNumberFormat="1" applyFont="1" applyFill="1" applyBorder="1" applyAlignment="1">
      <alignment horizontal="left" vertical="top" wrapText="1"/>
    </xf>
    <xf numFmtId="0" fontId="11" fillId="0" borderId="1" xfId="0" applyFont="1" applyBorder="1" applyAlignment="1">
      <alignment horizontal="left" vertical="top"/>
    </xf>
    <xf numFmtId="169" fontId="11" fillId="0" borderId="1" xfId="0" applyNumberFormat="1" applyFont="1" applyBorder="1" applyAlignment="1">
      <alignment horizontal="left" vertical="top"/>
    </xf>
    <xf numFmtId="169" fontId="12" fillId="3" borderId="1" xfId="0" applyNumberFormat="1" applyFont="1" applyFill="1" applyBorder="1" applyAlignment="1">
      <alignment horizontal="left" vertical="top"/>
    </xf>
    <xf numFmtId="0" fontId="12" fillId="3" borderId="1" xfId="0" applyFont="1" applyFill="1" applyBorder="1" applyAlignment="1">
      <alignment horizontal="left" vertical="top"/>
    </xf>
    <xf numFmtId="0" fontId="5" fillId="0" borderId="1" xfId="0" applyFont="1" applyBorder="1" applyAlignment="1">
      <alignment horizontal="center" vertical="top"/>
    </xf>
    <xf numFmtId="166" fontId="6" fillId="0" borderId="1" xfId="0" applyNumberFormat="1" applyFont="1" applyBorder="1" applyAlignment="1">
      <alignment horizontal="center"/>
    </xf>
    <xf numFmtId="166" fontId="6" fillId="0" borderId="1" xfId="2" applyNumberFormat="1" applyFont="1" applyFill="1" applyBorder="1" applyAlignment="1">
      <alignment horizontal="center"/>
    </xf>
    <xf numFmtId="0" fontId="5" fillId="0" borderId="1" xfId="0" applyFont="1" applyBorder="1" applyAlignment="1">
      <alignment horizontal="center"/>
    </xf>
    <xf numFmtId="0" fontId="5" fillId="10" borderId="3" xfId="0" applyFont="1" applyFill="1" applyBorder="1" applyAlignment="1">
      <alignment horizontal="left" vertical="top" wrapText="1"/>
    </xf>
    <xf numFmtId="0" fontId="5" fillId="10" borderId="8" xfId="0" applyFont="1" applyFill="1" applyBorder="1" applyAlignment="1">
      <alignment horizontal="left" vertical="top" wrapText="1"/>
    </xf>
    <xf numFmtId="166" fontId="5" fillId="10" borderId="3" xfId="2" applyNumberFormat="1" applyFont="1" applyFill="1" applyBorder="1" applyAlignment="1">
      <alignment horizontal="left" vertical="top" wrapText="1"/>
    </xf>
    <xf numFmtId="166" fontId="5" fillId="10" borderId="8" xfId="2" applyNumberFormat="1" applyFont="1" applyFill="1" applyBorder="1" applyAlignment="1">
      <alignment horizontal="left" vertical="top" wrapText="1"/>
    </xf>
    <xf numFmtId="0" fontId="7" fillId="10" borderId="5" xfId="0" applyFont="1" applyFill="1" applyBorder="1" applyAlignment="1">
      <alignment vertical="top" wrapText="1"/>
    </xf>
    <xf numFmtId="0" fontId="7" fillId="10" borderId="7" xfId="0" applyFont="1" applyFill="1" applyBorder="1" applyAlignment="1">
      <alignment vertical="top" wrapText="1"/>
    </xf>
    <xf numFmtId="0" fontId="8" fillId="0" borderId="0" xfId="0" applyFont="1" applyAlignment="1">
      <alignment horizontal="center"/>
    </xf>
    <xf numFmtId="0" fontId="8" fillId="0" borderId="0" xfId="0" applyFont="1" applyAlignment="1">
      <alignment horizontal="center" wrapText="1"/>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9" fillId="10" borderId="7" xfId="0" applyFont="1" applyFill="1" applyBorder="1" applyAlignment="1">
      <alignment horizontal="left" vertical="center" wrapText="1"/>
    </xf>
    <xf numFmtId="0" fontId="5" fillId="4"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5" fillId="0" borderId="0" xfId="0" applyFont="1" applyAlignment="1">
      <alignment horizontal="left" vertical="center" wrapText="1"/>
    </xf>
    <xf numFmtId="168" fontId="10"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2" fontId="9" fillId="11" borderId="0" xfId="0" applyNumberFormat="1" applyFont="1" applyFill="1" applyAlignment="1">
      <alignment horizontal="center" vertical="center"/>
    </xf>
  </cellXfs>
  <cellStyles count="6">
    <cellStyle name="40% - Accent3" xfId="3" builtinId="39"/>
    <cellStyle name="Comma" xfId="1" builtinId="3"/>
    <cellStyle name="Comma 2" xfId="5" xr:uid="{991DAE5F-1BE2-4263-A946-27ABA3C3E445}"/>
    <cellStyle name="Normal" xfId="0" builtinId="0"/>
    <cellStyle name="Normal 3" xfId="4" xr:uid="{A76F19AC-85AE-4DD9-B8A5-00FBC58F8E91}"/>
    <cellStyle name="Percent" xfId="2" builtinId="5"/>
  </cellStyles>
  <dxfs count="113">
    <dxf>
      <font>
        <b val="0"/>
        <i val="0"/>
        <strike val="0"/>
        <condense val="0"/>
        <extend val="0"/>
        <outline val="0"/>
        <shadow val="0"/>
        <u val="none"/>
        <vertAlign val="baseline"/>
        <sz val="12"/>
        <color theme="1"/>
        <name val="Aptos"/>
        <family val="2"/>
        <scheme val="none"/>
      </font>
      <numFmt numFmtId="168" formatCode="0.000"/>
    </dxf>
    <dxf>
      <font>
        <b val="0"/>
        <i val="0"/>
        <strike val="0"/>
        <condense val="0"/>
        <extend val="0"/>
        <outline val="0"/>
        <shadow val="0"/>
        <u val="none"/>
        <vertAlign val="baseline"/>
        <sz val="12"/>
        <color theme="1"/>
        <name val="Aptos"/>
        <family val="2"/>
        <scheme val="none"/>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2" formatCode="0.00"/>
      <alignment horizontal="left" vertical="bottom"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auto="1"/>
        <name val="Aptos"/>
        <family val="2"/>
        <scheme val="none"/>
      </font>
      <numFmt numFmtId="168" formatCode="0.000"/>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Aptos"/>
        <family val="2"/>
        <scheme val="none"/>
      </font>
      <numFmt numFmtId="168" formatCode="0.000"/>
      <fill>
        <patternFill patternType="none">
          <fgColor indexed="64"/>
          <bgColor theme="4"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168" formatCode="0.000"/>
      <fill>
        <patternFill patternType="none">
          <fgColor indexed="64"/>
          <bgColor theme="4"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168" formatCode="0.000"/>
      <fill>
        <patternFill patternType="none">
          <fgColor indexed="64"/>
          <bgColor theme="4"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0" formatCode="General"/>
      <fill>
        <patternFill patternType="none">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0" formatCode="General"/>
      <fill>
        <patternFill patternType="none">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1" formatCode="0"/>
      <fill>
        <patternFill patternType="none">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2" formatCode="0.00"/>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ptos"/>
        <family val="2"/>
        <scheme val="none"/>
      </font>
      <fill>
        <patternFill patternType="none">
          <fgColor indexed="64"/>
          <bgColor auto="1"/>
        </patternFill>
      </fill>
      <alignment vertical="center" textRotation="0" indent="0" justifyLastLine="0" shrinkToFit="0" readingOrder="0"/>
    </dxf>
    <dxf>
      <font>
        <b/>
        <strike val="0"/>
        <outline val="0"/>
        <shadow val="0"/>
        <u val="none"/>
        <vertAlign val="baseline"/>
        <sz val="11"/>
        <color auto="1"/>
        <name val="Aptos"/>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theme="1"/>
        <name val="Aptos"/>
        <family val="2"/>
        <scheme val="none"/>
      </font>
      <numFmt numFmtId="14" formatCode="0.00%"/>
      <alignment horizontal="center" vertical="center" textRotation="0" wrapText="0" indent="0" justifyLastLine="0" shrinkToFit="0" readingOrder="0"/>
    </dxf>
    <dxf>
      <font>
        <strike val="0"/>
        <outline val="0"/>
        <shadow val="0"/>
        <u val="none"/>
        <vertAlign val="baseline"/>
        <sz val="12"/>
        <color theme="1"/>
        <name val="Aptos"/>
        <family val="2"/>
        <scheme val="none"/>
      </font>
      <numFmt numFmtId="2" formatCode="0.00"/>
      <alignment horizontal="center" vertical="center" textRotation="0" wrapText="0" indent="0" justifyLastLine="0" shrinkToFit="0" readingOrder="0"/>
    </dxf>
    <dxf>
      <font>
        <strike val="0"/>
        <outline val="0"/>
        <shadow val="0"/>
        <u val="none"/>
        <vertAlign val="baseline"/>
        <sz val="12"/>
        <color theme="1"/>
        <name val="Aptos"/>
        <family val="2"/>
        <scheme val="none"/>
      </font>
      <numFmt numFmtId="2" formatCode="0.00"/>
      <alignment horizontal="center" vertical="center" textRotation="0" wrapText="0" indent="0" justifyLastLine="0" shrinkToFit="0" readingOrder="0"/>
    </dxf>
    <dxf>
      <font>
        <strike val="0"/>
        <outline val="0"/>
        <shadow val="0"/>
        <u val="none"/>
        <vertAlign val="baseline"/>
        <sz val="12"/>
        <color theme="1"/>
        <name val="Aptos"/>
        <family val="2"/>
        <scheme val="none"/>
      </font>
      <numFmt numFmtId="0" formatCode="General"/>
      <alignment horizontal="left" vertical="bottom" textRotation="0" wrapText="0" indent="0" justifyLastLine="0" shrinkToFit="0" readingOrder="0"/>
    </dxf>
    <dxf>
      <font>
        <strike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dxf>
    <dxf>
      <font>
        <strike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Aptos"/>
        <family val="2"/>
        <scheme val="none"/>
      </font>
      <numFmt numFmtId="34" formatCode="_(&quot;$&quot;* #,##0.00_);_(&quot;$&quot;* \(#,##0.00\);_(&quot;$&quot;* &quot;-&quot;??_);_(@_)"/>
      <alignment horizontal="left" vertical="bottom" textRotation="0" wrapText="0" indent="0" justifyLastLine="0" shrinkToFit="0" readingOrder="0"/>
    </dxf>
    <dxf>
      <font>
        <strike val="0"/>
        <outline val="0"/>
        <shadow val="0"/>
        <u val="none"/>
        <vertAlign val="baseline"/>
        <sz val="12"/>
        <color theme="1"/>
        <name val="Aptos"/>
        <family val="2"/>
        <scheme val="none"/>
      </font>
      <numFmt numFmtId="34" formatCode="_(&quot;$&quot;* #,##0.00_);_(&quot;$&quot;* \(#,##0.00\);_(&quot;$&quot;* &quot;-&quot;??_);_(@_)"/>
      <alignment horizontal="left" vertical="bottom"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dxf>
    <dxf>
      <font>
        <strike val="0"/>
        <outline val="0"/>
        <shadow val="0"/>
        <u val="none"/>
        <vertAlign val="baseline"/>
        <sz val="12"/>
        <color theme="1"/>
        <name val="Aptos"/>
        <family val="2"/>
        <scheme val="none"/>
      </font>
      <alignment horizontal="left" vertical="bottom" textRotation="0" wrapText="0" indent="0" justifyLastLine="0" shrinkToFit="0" readingOrder="0"/>
    </dxf>
    <dxf>
      <font>
        <strike val="0"/>
        <outline val="0"/>
        <shadow val="0"/>
        <u val="none"/>
        <vertAlign val="baseline"/>
        <sz val="12"/>
        <color theme="1"/>
        <name val="Aptos"/>
        <family val="2"/>
        <scheme val="none"/>
      </font>
      <alignment horizontal="center" vertical="center" textRotation="0" wrapText="1" indent="0" justifyLastLine="0" shrinkToFit="0" readingOrder="0"/>
    </dxf>
    <dxf>
      <font>
        <strike val="0"/>
        <outline val="0"/>
        <shadow val="0"/>
        <u val="none"/>
        <vertAlign val="baseline"/>
        <name val="Aptos"/>
        <family val="2"/>
        <scheme val="none"/>
      </font>
      <numFmt numFmtId="34" formatCode="_(&quot;$&quot;* #,##0.00_);_(&quot;$&quot;* \(#,##0.00\);_(&quot;$&quot;* &quot;-&quot;??_);_(@_)"/>
    </dxf>
    <dxf>
      <font>
        <strike val="0"/>
        <outline val="0"/>
        <shadow val="0"/>
        <u val="none"/>
        <vertAlign val="baseline"/>
        <name val="Aptos"/>
        <family val="2"/>
        <scheme val="none"/>
      </font>
      <numFmt numFmtId="34" formatCode="_(&quot;$&quot;* #,##0.00_);_(&quot;$&quot;* \(#,##0.00\);_(&quot;$&quot;* &quot;-&quot;??_);_(@_)"/>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dxf>
    <dxf>
      <font>
        <strike val="0"/>
        <outline val="0"/>
        <shadow val="0"/>
        <u val="none"/>
        <vertAlign val="baseline"/>
        <name val="Aptos"/>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3"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3"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3"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7"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numFmt numFmtId="166" formatCode="_(&quot;$&quot;* #,##0_);_(&quot;$&quot;* \(#,##0\);_(&quot;$&quot;* &quot;-&quot;??_);_(@_)"/>
    </dxf>
    <dxf>
      <font>
        <b val="0"/>
        <i val="0"/>
        <strike val="0"/>
        <condense val="0"/>
        <extend val="0"/>
        <outline val="0"/>
        <shadow val="0"/>
        <u val="none"/>
        <vertAlign val="baseline"/>
        <sz val="11"/>
        <color theme="1"/>
        <name val="Aptos"/>
        <family val="2"/>
        <scheme val="none"/>
      </font>
      <numFmt numFmtId="34" formatCode="_(&quot;$&quot;* #,##0.00_);_(&quot;$&quot;* \(#,##0.00\);_(&quot;$&quot;* &quot;-&quot;??_);_(@_)"/>
      <fill>
        <patternFill patternType="solid">
          <fgColor indexed="64"/>
          <bgColor theme="5" tint="0.79998168889431442"/>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theme="1"/>
        <name val="Aptos"/>
        <family val="2"/>
        <scheme val="none"/>
      </font>
      <numFmt numFmtId="0" formatCode="General"/>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Aptos"/>
        <family val="2"/>
        <scheme val="none"/>
      </font>
    </dxf>
    <dxf>
      <font>
        <b val="0"/>
        <i val="0"/>
        <strike val="0"/>
        <condense val="0"/>
        <extend val="0"/>
        <outline val="0"/>
        <shadow val="0"/>
        <u val="none"/>
        <vertAlign val="baseline"/>
        <sz val="11"/>
        <color auto="1"/>
        <name val="Aptos"/>
        <family val="2"/>
        <scheme val="none"/>
      </font>
      <numFmt numFmtId="1" formatCode="0"/>
      <fill>
        <patternFill patternType="none">
          <fgColor indexed="64"/>
          <bgColor auto="1"/>
        </patternFill>
      </fill>
      <alignment horizontal="left" vertical="top" textRotation="0" wrapText="0" indent="0" justifyLastLine="0" shrinkToFit="0" readingOrder="0"/>
    </dxf>
    <dxf>
      <font>
        <strike val="0"/>
        <outline val="0"/>
        <shadow val="0"/>
        <u val="none"/>
        <vertAlign val="baseline"/>
        <name val="Aptos"/>
        <family val="2"/>
        <scheme val="none"/>
      </font>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ptos"/>
        <family val="2"/>
        <scheme val="none"/>
      </font>
      <fill>
        <patternFill patternType="none">
          <fgColor indexed="64"/>
          <bgColor auto="1"/>
        </patternFill>
      </fill>
      <alignment horizontal="general" vertical="bottom" textRotation="0" wrapText="0" indent="0" justifyLastLine="0" shrinkToFit="0" readingOrder="0"/>
    </dxf>
    <dxf>
      <font>
        <b/>
        <i val="0"/>
        <strike val="0"/>
        <condense val="0"/>
        <extend val="0"/>
        <outline val="0"/>
        <shadow val="0"/>
        <u val="none"/>
        <vertAlign val="baseline"/>
        <sz val="11"/>
        <color auto="1"/>
        <name val="Aptos"/>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theme="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strike val="0"/>
        <outline val="0"/>
        <shadow val="0"/>
        <u val="none"/>
        <vertAlign val="baseline"/>
        <sz val="12"/>
        <name val="Aptos"/>
        <family val="2"/>
        <scheme val="none"/>
      </font>
      <numFmt numFmtId="1" formatCode="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ptos"/>
        <family val="2"/>
        <scheme val="none"/>
      </font>
      <alignment horizontal="center" vertical="center" textRotation="0" wrapText="0" indent="0" justifyLastLine="0" shrinkToFit="0" readingOrder="0"/>
    </dxf>
    <dxf>
      <font>
        <strike val="0"/>
        <outline val="0"/>
        <shadow val="0"/>
        <u val="none"/>
        <vertAlign val="baseline"/>
        <sz val="12"/>
        <name val="Aptos"/>
        <family val="2"/>
        <scheme val="none"/>
      </font>
      <numFmt numFmtId="1" formatCode="0"/>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theme="1"/>
        <name val="Aptos"/>
        <family val="2"/>
        <scheme val="none"/>
      </font>
      <numFmt numFmtId="166" formatCode="_(&quot;$&quot;* #,##0_);_(&quot;$&quot;* \(#,##0\);_(&quot;$&quot;* &quot;-&quot;??_);_(@_)"/>
      <alignment horizontal="center" vertical="center" textRotation="0" wrapText="0" indent="0" justifyLastLine="0" shrinkToFit="0" readingOrder="0"/>
    </dxf>
    <dxf>
      <font>
        <strike val="0"/>
        <outline val="0"/>
        <shadow val="0"/>
        <u val="none"/>
        <vertAlign val="baseline"/>
        <sz val="12"/>
        <name val="Aptos"/>
        <family val="2"/>
        <scheme val="none"/>
      </font>
      <numFmt numFmtId="166" formatCode="_(&quot;$&quot;* #,##0_);_(&quot;$&quot;* \(#,##0\);_(&quot;$&quot;* &quot;-&quot;??_);_(@_)"/>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6" formatCode="_(&quot;$&quot;* #,##0_);_(&quot;$&quot;* \(#,##0\);_(&quot;$&quot;*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65" formatCode="0.0000"/>
      <alignment horizontal="center"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4"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2"/>
        <color theme="1"/>
        <name val="Aptos"/>
        <family val="2"/>
        <scheme val="none"/>
      </font>
    </dxf>
    <dxf>
      <font>
        <strike val="0"/>
        <outline val="0"/>
        <shadow val="0"/>
        <u val="none"/>
        <vertAlign val="baseline"/>
        <sz val="12"/>
        <color auto="1"/>
        <name val="Aptos"/>
        <family val="2"/>
        <scheme val="none"/>
      </font>
      <numFmt numFmtId="1" formatCode="0"/>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2"/>
        <color auto="1"/>
        <name val="Aptos"/>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0" formatCode="General"/>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2"/>
        <name val="Aptos"/>
        <family val="2"/>
        <scheme val="none"/>
      </font>
      <numFmt numFmtId="35" formatCode="_(* #,##0.00_);_(* \(#,##0.00\);_(* &quot;-&quot;??_);_(@_)"/>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ptos"/>
        <family val="2"/>
        <scheme val="none"/>
      </font>
      <numFmt numFmtId="35" formatCode="_(* #,##0.00_);_(* \(#,##0.00\);_(* &quot;-&quot;??_);_(@_)"/>
      <fill>
        <patternFill patternType="none">
          <fgColor indexed="64"/>
          <bgColor auto="1"/>
        </patternFill>
      </fill>
      <alignment horizontal="lef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Aptos"/>
        <family val="2"/>
        <scheme val="none"/>
      </font>
      <numFmt numFmtId="35" formatCode="_(* #,##0.00_);_(* \(#,##0.00\);_(*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ptos"/>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ptos"/>
        <family val="2"/>
        <scheme val="none"/>
      </font>
      <numFmt numFmtId="166" formatCode="_(&quot;$&quot;* #,##0_);_(&quot;$&quot;* \(#,##0\);_(&quot;$&quot;* &quot;-&quot;??_);_(@_)"/>
      <alignment horizontal="left"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34" formatCode="_(&quot;$&quot;* #,##0.00_);_(&quot;$&quot;* \(#,##0.00\);_(&quot;$&quot;* &quot;-&quot;??_);_(@_)"/>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ptos"/>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0" formatCode="General"/>
      <fill>
        <patternFill patternType="none">
          <fgColor indexed="64"/>
          <bgColor auto="1"/>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Aptos"/>
        <family val="2"/>
        <scheme val="none"/>
      </font>
      <alignment horizontal="left" vertical="center" textRotation="0" wrapText="0" indent="0" justifyLastLine="0" shrinkToFit="0" readingOrder="0"/>
    </dxf>
    <dxf>
      <font>
        <b val="0"/>
        <i val="0"/>
        <strike val="0"/>
        <condense val="0"/>
        <extend val="0"/>
        <outline val="0"/>
        <shadow val="0"/>
        <u val="none"/>
        <vertAlign val="baseline"/>
        <sz val="12"/>
        <color auto="1"/>
        <name val="Aptos"/>
        <family val="2"/>
        <scheme val="none"/>
      </font>
      <numFmt numFmtId="1" formatCode="0"/>
      <fill>
        <patternFill patternType="none">
          <fgColor indexed="64"/>
          <bgColor auto="1"/>
        </patternFill>
      </fill>
      <alignment horizontal="left" vertical="center" textRotation="0" wrapText="0" indent="0" justifyLastLine="0" shrinkToFit="0" readingOrder="0"/>
    </dxf>
    <dxf>
      <font>
        <b/>
        <strike val="0"/>
        <outline val="0"/>
        <shadow val="0"/>
        <u val="none"/>
        <vertAlign val="baseline"/>
        <sz val="12"/>
        <color auto="1"/>
        <name val="Aptos"/>
        <family val="2"/>
        <scheme val="none"/>
      </font>
      <fill>
        <patternFill patternType="none">
          <fgColor indexed="64"/>
          <bgColor auto="1"/>
        </patternFill>
      </fill>
      <alignment horizontal="left" vertical="center" textRotation="0"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2"/>
        <color auto="1"/>
        <name val="Aptos"/>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534E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AEE7F1F-7F7C-463C-AB24-3835C326AAC7}" name="CLAIMTABLE20" displayName="CLAIMTABLE20" ref="A3:D44" totalsRowCount="1" headerRowDxfId="112" dataDxfId="111" totalsRowDxfId="110" headerRowCellStyle="Comma 2" dataCellStyle="Comma 2">
  <autoFilter ref="A3:D43" xr:uid="{DCBD3E96-72DF-4DEC-9A9E-18ADDB8DB21E}"/>
  <tableColumns count="4">
    <tableColumn id="10" xr3:uid="{3054C9D4-14AE-40C1-AD0D-4BBD5D9997E6}" name="CECRIS PIN" totalsRowLabel="Total" dataDxfId="109" totalsRowDxfId="108" dataCellStyle="Comma 2"/>
    <tableColumn id="9" xr3:uid="{6B705D79-78C5-4E4C-9B7E-B0752D065055}" name="Program Title" dataDxfId="107" totalsRowDxfId="106" dataCellStyle="Comma 2">
      <calculatedColumnFormula>_xlfn.XLOOKUP(CLAIMTABLE20[[#This Row],[CECRIS PIN]],CECPINDATA[CECRIS PIN],CECPINDATA[Program Name])</calculatedColumnFormula>
    </tableColumn>
    <tableColumn id="6" xr3:uid="{F16624B3-8B21-4125-8F62-76CBCEFF0AFD}" name="Claimed Costs" totalsRowFunction="sum" dataDxfId="105" totalsRowDxfId="104" dataCellStyle="Comma 2">
      <calculatedColumnFormula>IFERROR(_xlfn.XLOOKUP(CLAIMTABLE20[[#This Row],[CECRIS PIN]],COSTCALC[CECRIS PIN],COSTCALC[Claimable Cost]),0)</calculatedColumnFormula>
    </tableColumn>
    <tableColumn id="1" xr3:uid="{62682E69-B54C-4F0F-BD75-F2446F933700}" name="Notes" dataDxfId="103" totalsRowDxfId="102" dataCellStyle="Comma 2"/>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2B81A-D06B-4792-BA59-590D8B325434}" name="COSTCALC" displayName="COSTCALC" ref="A5:M47" totalsRowCount="1" headerRowDxfId="101" dataDxfId="99" totalsRowDxfId="98" headerRowBorderDxfId="100" headerRowCellStyle="Comma" dataCellStyle="Comma">
  <autoFilter ref="A5:M46" xr:uid="{8CA2B81A-D06B-4792-BA59-590D8B3254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3652A89-842C-4C48-8C97-36CBAFFD75B2}" name="CECRIS PIN" totalsRowLabel="Total" dataDxfId="97" totalsRowDxfId="96"/>
    <tableColumn id="2" xr3:uid="{F3DA9086-59C1-401C-95D9-4FC6C56899F8}" name="Program Name" dataDxfId="95" totalsRowDxfId="94">
      <calculatedColumnFormula>_xlfn.XLOOKUP(COSTCALC[[#This Row],[CECRIS PIN]],CECPINDATA[CECRIS PIN],CECPINDATA[Program Name])</calculatedColumnFormula>
    </tableColumn>
    <tableColumn id="4" xr3:uid="{172814B7-88FD-4346-8CC7-3D491593CD41}" name="Allocable Hours (%)" totalsRowFunction="sum" dataDxfId="93" totalsRowDxfId="92" dataCellStyle="Percent">
      <calculatedColumnFormula>IFERROR(_xlfn.XLOOKUP(COSTCALC[[#This Row],[CECRIS PIN]],TIMESTUDYSUMM[CECRIS PIN],TIMESTUDYSUMM[Allocable Hours %]),0)</calculatedColumnFormula>
    </tableColumn>
    <tableColumn id="5" xr3:uid="{A74A175F-BDD2-4304-B802-B912AE4A4920}" name="Payroll Cost" totalsRowFunction="sum" dataDxfId="91" totalsRowDxfId="90" dataCellStyle="Comma">
      <calculatedColumnFormula>$C$4*COSTCALC[[#This Row],[Allocable Hours (%)]]</calculatedColumnFormula>
    </tableColumn>
    <tableColumn id="6" xr3:uid="{48FF58B8-E0F0-451D-AEFA-75457B134E09}" name="Indirect Cost" totalsRowFunction="sum" dataDxfId="89" totalsRowDxfId="88" dataCellStyle="Comma">
      <calculatedColumnFormula>$E$4*COSTCALC[[#This Row],[Payroll Cost]]</calculatedColumnFormula>
    </tableColumn>
    <tableColumn id="7" xr3:uid="{D4022B86-2292-4B1F-ACF2-F931770B6141}" name="Non Payroll Cost" totalsRowFunction="sum" dataDxfId="87" totalsRowDxfId="86" dataCellStyle="Comma">
      <calculatedColumnFormula>IFERROR(_xlfn.XLOOKUP(COSTCALC[[#This Row],[CECRIS PIN]],COSTSUMM[CECRIS PIN],COSTSUMM[Cost]),0)</calculatedColumnFormula>
    </tableColumn>
    <tableColumn id="8" xr3:uid="{854C8833-576D-40E2-A1B7-520F9086ABA5}" name="Total Program Cost" totalsRowFunction="sum" dataDxfId="85" totalsRowDxfId="84">
      <calculatedColumnFormula>COSTCALC[[#This Row],[Non Payroll Cost]]+COSTCALC[[#This Row],[Indirect Cost]]+COSTCALC[[#This Row],[Payroll Cost]]</calculatedColumnFormula>
    </tableColumn>
    <tableColumn id="9" xr3:uid="{22FB109E-CDCA-4A22-91F2-6B04C7DE53AF}" name="Apply Federal Discount Rate" dataDxfId="83" totalsRowDxfId="82">
      <calculatedColumnFormula>_xlfn.XLOOKUP(COSTCALC[[#This Row],[CECRIS PIN]],CECPINDATA[CECRIS PIN],CECPINDATA[DISCOUNT RATE])</calculatedColumnFormula>
    </tableColumn>
    <tableColumn id="10" xr3:uid="{4740E28F-CE2E-45E3-88B0-3EADBE98F54F}" name="Federal Cost" totalsRowFunction="sum" dataDxfId="81" totalsRowDxfId="80" dataCellStyle="Comma">
      <calculatedColumnFormula>IF(COSTCALC[[#This Row],[Apply Federal Discount Rate]]="Y",COSTCALC[[#This Row],[Total Program Cost]]*$H$4,COSTCALC[[#This Row],[Total Program Cost]])</calculatedColumnFormula>
    </tableColumn>
    <tableColumn id="11" xr3:uid="{A583259B-14EB-4B01-96A6-91E562FB2A39}" name="Non Fed Cost" totalsRowFunction="sum" dataDxfId="79" totalsRowDxfId="78" dataCellStyle="Comma">
      <calculatedColumnFormula>COSTCALC[[#This Row],[Total Program Cost]]-COSTCALC[[#This Row],[Federal Cost]]</calculatedColumnFormula>
    </tableColumn>
    <tableColumn id="12" xr3:uid="{437D258B-90C5-45EC-872B-48420AE88DF3}" name="NonFed Cost Claimed" totalsRowFunction="sum" dataDxfId="77" totalsRowDxfId="76" dataCellStyle="Comma">
      <calculatedColumnFormula>IFERROR(_xlfn.XLOOKUP(COSTCALC[[#This Row],[Residual of PIN]],COSTCALC[CECRIS PIN],COSTCALC[Non Fed Cost]),0)</calculatedColumnFormula>
    </tableColumn>
    <tableColumn id="13" xr3:uid="{5856905E-B83F-4E4E-A9CD-B819D12B7A22}" name="Residual of PIN" dataDxfId="75" totalsRowDxfId="74">
      <calculatedColumnFormula>_xlfn.XLOOKUP(COSTCALC[[#This Row],[CECRIS PIN]],CECPINDATA[CECRIS PIN],CECPINDATA[Non Fed Residual Of])</calculatedColumnFormula>
    </tableColumn>
    <tableColumn id="14" xr3:uid="{A11F859F-B60B-4606-A61C-966EDAF2FD75}" name="Claimable Cost" totalsRowFunction="sum" dataDxfId="73" totalsRowDxfId="72" dataCellStyle="40% - Accent3">
      <calculatedColumnFormula>IF(COSTCALC[[#This Row],[CECRIS PIN]]="Prob Only",0,COSTCALC[[#This Row],[Federal Cost]]+COSTCALC[[#This Row],[NonFed Cost Claimed]])</calculatedColumnFormula>
    </tableColumn>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759653-9C68-4198-85BE-49212C1F5A96}" name="COSTSHARE" displayName="COSTSHARE" ref="A4:N35" totalsRowCount="1" headerRowDxfId="71" dataDxfId="70" totalsRowDxfId="68" tableBorderDxfId="69" dataCellStyle="Percent">
  <autoFilter ref="A4:N34" xr:uid="{590D9E4A-C821-4AE0-8D20-380E1A210E3A}"/>
  <sortState xmlns:xlrd2="http://schemas.microsoft.com/office/spreadsheetml/2017/richdata2" ref="A5:N34">
    <sortCondition ref="A4:A34"/>
  </sortState>
  <tableColumns count="14">
    <tableColumn id="3" xr3:uid="{D83BCE91-4374-4F57-A5E4-B1F97A52F00D}" name="CECRIS PIN" totalsRowLabel="Total" dataDxfId="67" totalsRowDxfId="66" dataCellStyle="Percent"/>
    <tableColumn id="13" xr3:uid="{C591860E-7318-4840-B603-6BAB7A6CBEB4}" name="Program Name" dataDxfId="65" totalsRowDxfId="64" dataCellStyle="Percent">
      <calculatedColumnFormula>_xlfn.XLOOKUP(COSTSHARE[[#This Row],[CECRIS PIN]],CECPINDATA[CECRIS PIN],CECPINDATA[Program Name])</calculatedColumnFormula>
    </tableColumn>
    <tableColumn id="1" xr3:uid="{6A8319B2-8CA2-4657-9CDF-0BB468752677}" name="Total Cost" totalsRowFunction="sum" dataDxfId="63" totalsRowDxfId="62">
      <calculatedColumnFormula>_xlfn.XLOOKUP(COSTSHARE[[#This Row],[CECRIS PIN]],COSTCALC[CECRIS PIN],COSTCALC[Total Program Cost])</calculatedColumnFormula>
    </tableColumn>
    <tableColumn id="7" xr3:uid="{FA424C4A-5B91-4F4E-9186-B8501BE052D5}" name="Fed Eligible_x000a_Cost" totalsRowFunction="sum" dataDxfId="61" totalsRowDxfId="60" dataCellStyle="Percent">
      <calculatedColumnFormula>_xlfn.XLOOKUP(COSTSHARE[[#This Row],[CECRIS PIN]],COSTCALC[CECRIS PIN],COSTCALC[Federal Cost])</calculatedColumnFormula>
    </tableColumn>
    <tableColumn id="9" xr3:uid="{330B480B-2E54-4381-BE36-9FED4E940BBC}" name="Non-Fed Eligible Cost" totalsRowFunction="sum" dataDxfId="59" totalsRowDxfId="58" dataCellStyle="Percent">
      <calculatedColumnFormula>COSTSHARE[[#This Row],[Total Cost]]-COSTSHARE[[#This Row],[Fed Eligible
Cost]]</calculatedColumnFormula>
    </tableColumn>
    <tableColumn id="8" xr3:uid="{6C2133E7-CFFB-4FCE-8BAC-CAC27DD76C95}" name="Fed Share_x000a_Elig Cost" totalsRowFunction="sum" dataDxfId="57" totalsRowDxfId="56" dataCellStyle="Percent">
      <calculatedColumnFormula>COSTSHARE[[#This Row],[Fed Eligible
Cost]]*_xlfn.XLOOKUP(COSTSHARE[[#This Row],[CECRIS PIN]],CECPINDATA[CECRIS PIN],CECPINDATA[Fed %])</calculatedColumnFormula>
    </tableColumn>
    <tableColumn id="5" xr3:uid="{D14E3BF4-D795-4043-AC4E-0E3A304ABD3B}" name="State Share_x000a_Elig Cost" totalsRowFunction="sum" dataDxfId="55" totalsRowDxfId="54" dataCellStyle="Percent">
      <calculatedColumnFormula>COSTSHARE[[#This Row],[Fed Eligible
Cost]]*_xlfn.XLOOKUP(COSTSHARE[[#This Row],[CECRIS PIN]],CECPINDATA[CECRIS PIN],CECPINDATA[State%])</calculatedColumnFormula>
    </tableColumn>
    <tableColumn id="11" xr3:uid="{B9557FD2-D4BB-44E1-94B0-7DD69F27D717}" name="County Share_x000a_Elig Cost" totalsRowFunction="sum" dataDxfId="53" totalsRowDxfId="52" dataCellStyle="Percent">
      <calculatedColumnFormula>COSTSHARE[[#This Row],[Fed Eligible
Cost]]*_xlfn.XLOOKUP(COSTSHARE[[#This Row],[CECRIS PIN]],CECPINDATA[CECRIS PIN],CECPINDATA[County %])</calculatedColumnFormula>
    </tableColumn>
    <tableColumn id="12" xr3:uid="{C602FC58-FF43-4802-AC40-A47606EA43D4}" name="Fed Share_x000a_Non Elig Cost" dataDxfId="51" totalsRowDxfId="50" dataCellStyle="Percent">
      <calculatedColumnFormula>IFERROR(_xlfn.XLOOKUP(COSTSHARE[[#This Row],[CECRIS PIN]],COSTCALC[Residual of PIN],COSTCALC[NonFed Cost Claimed])*_xlfn.XLOOKUP(COSTSHARE[[#This Row],[CECRIS PIN]],CECPINDATA[Non Fed Residual Of],CECPINDATA[Fed %]),0)</calculatedColumnFormula>
    </tableColumn>
    <tableColumn id="10" xr3:uid="{1939AC26-9797-467F-98D0-B5EC8AF17BAF}" name="State Share_x000a_Non Elig Cost" totalsRowFunction="sum" dataDxfId="49" totalsRowDxfId="48" dataCellStyle="Percent">
      <calculatedColumnFormula>IFERROR(_xlfn.XLOOKUP(COSTSHARE[[#This Row],[CECRIS PIN]],COSTCALC[Residual of PIN],COSTCALC[NonFed Cost Claimed])*_xlfn.XLOOKUP(COSTSHARE[[#This Row],[CECRIS PIN]],CECPINDATA[Non Fed Residual Of],CECPINDATA[State%]),0)</calculatedColumnFormula>
    </tableColumn>
    <tableColumn id="6" xr3:uid="{C1BA6244-6A99-4E64-AE4C-CA329AD3B33C}" name="County Share_x000a_Non Elig Cost" totalsRowFunction="sum" dataDxfId="47" totalsRowDxfId="46" dataCellStyle="Percent">
      <calculatedColumnFormula>COSTSHARE[[#This Row],[Non-Fed Eligible Cost]]-COSTSHARE[[#This Row],[State Share
Non Elig Cost]]</calculatedColumnFormula>
    </tableColumn>
    <tableColumn id="15" xr3:uid="{91B28EBB-0464-48E4-A7FD-21469E432968}" name="Total Fed" totalsRowFunction="sum" dataDxfId="45" totalsRowDxfId="44" dataCellStyle="Percent">
      <calculatedColumnFormula>COSTSHARE[[#This Row],[Fed Share
Elig Cost]]+COSTSHARE[[#This Row],[Fed Share
Non Elig Cost]]</calculatedColumnFormula>
    </tableColumn>
    <tableColumn id="4" xr3:uid="{1DE7B9ED-1B01-46D2-9D54-3F49DACFFB4F}" name="Total State" totalsRowFunction="sum" dataDxfId="43" totalsRowDxfId="42" dataCellStyle="Percent">
      <calculatedColumnFormula>COSTSHARE[[#This Row],[State Share
Elig Cost]]+COSTSHARE[[#This Row],[State Share
Non Elig Cost]]</calculatedColumnFormula>
    </tableColumn>
    <tableColumn id="16" xr3:uid="{5EC05C0D-960A-4513-8EDD-FFE0D1733948}" name="Total County" totalsRowFunction="sum" dataDxfId="41" totalsRowDxfId="40" dataCellStyle="Percent">
      <calculatedColumnFormula>COSTSHARE[[#This Row],[County Share
Elig Cost]]+COSTSHARE[[#This Row],[County Share
Non Elig Cost]]</calculatedColumnFormula>
    </tableColumn>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D15994B-41AE-4F21-B7FA-35A1A7271665}" name="PAYDATA" displayName="PAYDATA" ref="A2:B18" totalsRowCount="1" headerRowDxfId="39" dataDxfId="38" totalsRowDxfId="37">
  <autoFilter ref="A2:B17" xr:uid="{423563E6-B3EE-437C-BE43-8310FD029FC2}"/>
  <tableColumns count="2">
    <tableColumn id="39" xr3:uid="{33BFBC3B-E967-4005-9DA6-25D8A6D97B63}" name="Cost Pool Staff" totalsRowLabel="Total" dataDxfId="36" totalsRowDxfId="35"/>
    <tableColumn id="34" xr3:uid="{E2EC048E-BE0D-494F-A80F-9ACA0E179CFB}" name="Amount" totalsRowFunction="sum" dataDxfId="34" totalsRowDxfId="33"/>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B46D3BB-93D4-48FC-922A-1586E293D946}" name="COSTSUMM" displayName="COSTSUMM" ref="A2:C33" totalsRowCount="1" headerRowDxfId="32" dataDxfId="31" totalsRowDxfId="30">
  <autoFilter ref="A2:C32" xr:uid="{6B46D3BB-93D4-48FC-922A-1586E293D946}"/>
  <sortState xmlns:xlrd2="http://schemas.microsoft.com/office/spreadsheetml/2017/richdata2" ref="A3:C32">
    <sortCondition ref="A2:A32"/>
  </sortState>
  <tableColumns count="3">
    <tableColumn id="1" xr3:uid="{E1E341C5-9452-4A50-A210-47F00C65DA56}" name="CECRIS PIN" totalsRowLabel="Total" dataDxfId="29" totalsRowDxfId="28"/>
    <tableColumn id="3" xr3:uid="{0794838F-04E4-45BE-B3F2-D8BAE67EFA18}" name="PROGRAM NAME" dataDxfId="27" totalsRowDxfId="26">
      <calculatedColumnFormula>_xlfn.XLOOKUP(COSTSUMM[[#This Row],[CECRIS PIN]],CECPINDATA[CECRIS PIN],CECPINDATA[Program Name])</calculatedColumnFormula>
    </tableColumn>
    <tableColumn id="2" xr3:uid="{69427DC0-A45C-4DA5-8DCF-C77A5D4DDC57}" name="Cost" totalsRowFunction="sum" dataDxfId="25" totalsRowDxfId="24"/>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81EEDF5-B3C7-47ED-A3F3-C04ADC73DFE2}" name="TIMESTUDYSUMM" displayName="TIMESTUDYSUMM" ref="A3:E37" totalsRowCount="1" headerRowDxfId="23" dataDxfId="22" totalsRowDxfId="21">
  <autoFilter ref="A3:E36" xr:uid="{481EEDF5-B3C7-47ED-A3F3-C04ADC73DFE2}"/>
  <sortState xmlns:xlrd2="http://schemas.microsoft.com/office/spreadsheetml/2017/richdata2" ref="A4:E36">
    <sortCondition ref="A3:A36"/>
  </sortState>
  <tableColumns count="5">
    <tableColumn id="1" xr3:uid="{42CF9C7E-F609-4CE3-B3B7-6100D3825D7E}" name="CECRIS PIN" totalsRowLabel="Total" dataDxfId="20" totalsRowDxfId="4"/>
    <tableColumn id="5" xr3:uid="{8B16A919-3782-4CAD-A24E-4AE8F973A901}" name="PROGRAM NAME" dataDxfId="19" totalsRowDxfId="3">
      <calculatedColumnFormula>_xlfn.XLOOKUP(TIMESTUDYSUMM[[#This Row],[CECRIS PIN]],CECPINDATA[CECRIS PIN],CECPINDATA[Program Name])</calculatedColumnFormula>
    </tableColumn>
    <tableColumn id="2" xr3:uid="{C740CEFB-663F-40D8-ABC0-3D56C94BAE7D}" name="All Hours" totalsRowFunction="sum" dataDxfId="18" totalsRowDxfId="2"/>
    <tableColumn id="3" xr3:uid="{9AEF1AD6-6C0F-4312-86ED-5E444D6D9860}" name="Allocable Hours" totalsRowFunction="sum" dataDxfId="17" totalsRowDxfId="1"/>
    <tableColumn id="4" xr3:uid="{E830E12A-27FE-4B1C-A550-66B53CF0A26B}" name="Allocable Hours %" totalsRowFunction="sum" dataDxfId="16" totalsRowDxfId="0" dataCellStyle="Percent">
      <calculatedColumnFormula>TIMESTUDYSUMM[[#This Row],[Allocable Hours]]/TIMESTUDYSUMM[[#Totals],[Allocable Hours]]</calculatedColumnFormula>
    </tableColumn>
  </tableColumns>
  <tableStyleInfo name="TableStyleLight20"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8E7C237-8A62-4219-AC69-D99247A09B38}" name="CECPINDATA" displayName="CECPINDATA" ref="A3:I47" totalsRowShown="0" headerRowDxfId="15" dataDxfId="14">
  <autoFilter ref="A3:I47" xr:uid="{B1E1ACE4-9CC6-4D7D-9E76-4D9FAFC517F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sortState xmlns:xlrd2="http://schemas.microsoft.com/office/spreadsheetml/2017/richdata2" ref="A4:H47">
    <sortCondition ref="A3:A47"/>
  </sortState>
  <tableColumns count="9">
    <tableColumn id="6" xr3:uid="{786A5FFF-C8C0-4CE3-973B-15B2EB4452EE}" name="CECRIS PIN" dataDxfId="13"/>
    <tableColumn id="7" xr3:uid="{B8D3847B-BB26-4D0B-9C78-2E1459EA5292}" name="Program Name" dataDxfId="12"/>
    <tableColumn id="14" xr3:uid="{2C06D3F9-D8F6-4AE8-8C80-C3B11B821A6C}" name="DISCOUNT RATE" dataDxfId="11"/>
    <tableColumn id="18" xr3:uid="{0E7BA2D3-EEA9-4144-A156-A4AEA53613B2}" name="Non Fed Residual Of" dataDxfId="10"/>
    <tableColumn id="19" xr3:uid="{B853302C-2241-4A2E-B0E7-710E37625A1B}" name="Non Fed Residual" dataDxfId="9"/>
    <tableColumn id="15" xr3:uid="{083E46B9-152F-4260-AC9B-7DEAC48750FB}" name="Fed %" dataDxfId="8"/>
    <tableColumn id="16" xr3:uid="{72681FC1-AB93-492F-AA7D-5F2B0EFAEBCC}" name="State%" dataDxfId="7"/>
    <tableColumn id="17" xr3:uid="{97A88EFE-99CD-4136-9C7A-8AD838A4D08B}" name="County %" dataDxfId="6"/>
    <tableColumn id="1" xr3:uid="{12E228ED-2D12-430E-BDD3-5A2B02CFD1A7}" name="Refernce Documents" dataDxfId="5"/>
  </tableColumns>
  <tableStyleInfo showFirstColumn="0" showLastColumn="0" showRowStripes="1" showColumnStripes="0"/>
</table>
</file>

<file path=xl/theme/theme1.xml><?xml version="1.0" encoding="utf-8"?>
<a:theme xmlns:a="http://schemas.openxmlformats.org/drawingml/2006/main" name="Theme1">
  <a:themeElements>
    <a:clrScheme name="Custom 6">
      <a:dk1>
        <a:sysClr val="windowText" lastClr="000000"/>
      </a:dk1>
      <a:lt1>
        <a:sysClr val="window" lastClr="FFFFFF"/>
      </a:lt1>
      <a:dk2>
        <a:srgbClr val="1F497D"/>
      </a:dk2>
      <a:lt2>
        <a:srgbClr val="EEECE1"/>
      </a:lt2>
      <a:accent1>
        <a:srgbClr val="1F497D"/>
      </a:accent1>
      <a:accent2>
        <a:srgbClr val="4C3F54"/>
      </a:accent2>
      <a:accent3>
        <a:srgbClr val="D13525"/>
      </a:accent3>
      <a:accent4>
        <a:srgbClr val="F2C057"/>
      </a:accent4>
      <a:accent5>
        <a:srgbClr val="486824"/>
      </a:accent5>
      <a:accent6>
        <a:srgbClr val="ECFE06"/>
      </a:accent6>
      <a:hlink>
        <a:srgbClr val="0096D2"/>
      </a:hlink>
      <a:folHlink>
        <a:srgbClr val="00578B"/>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1" id="{A36F3DC3-AD02-4E07-81B4-F4D65C440499}" vid="{571214DE-EA46-45B4-B18A-0ED24CD59EE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8E2F-A2E8-4A00-A3F9-702269DBB4E7}">
  <sheetPr>
    <pageSetUpPr fitToPage="1"/>
  </sheetPr>
  <dimension ref="A1:E10"/>
  <sheetViews>
    <sheetView zoomScaleNormal="100" workbookViewId="0">
      <selection activeCell="B2" sqref="B2"/>
    </sheetView>
  </sheetViews>
  <sheetFormatPr defaultRowHeight="15" x14ac:dyDescent="0.25"/>
  <cols>
    <col min="1" max="1" width="31.5703125" style="1" customWidth="1"/>
    <col min="2" max="2" width="87.85546875" style="4" customWidth="1"/>
    <col min="3" max="3" width="1.42578125" style="1" customWidth="1"/>
    <col min="4" max="4" width="45.140625" style="1" customWidth="1"/>
    <col min="5" max="5" width="87.85546875" style="1" customWidth="1"/>
    <col min="6" max="16384" width="9.140625" style="1"/>
  </cols>
  <sheetData>
    <row r="1" spans="1:5" x14ac:dyDescent="0.25">
      <c r="A1" s="109" t="s">
        <v>111</v>
      </c>
      <c r="B1" s="109"/>
      <c r="C1" s="8"/>
      <c r="D1" s="110" t="s">
        <v>146</v>
      </c>
      <c r="E1" s="110"/>
    </row>
    <row r="2" spans="1:5" ht="120" x14ac:dyDescent="0.25">
      <c r="A2" s="2" t="s">
        <v>102</v>
      </c>
      <c r="B2" s="3" t="s">
        <v>206</v>
      </c>
      <c r="C2" s="8"/>
      <c r="D2" s="5" t="s">
        <v>109</v>
      </c>
      <c r="E2" s="3" t="s">
        <v>178</v>
      </c>
    </row>
    <row r="3" spans="1:5" ht="75" x14ac:dyDescent="0.25">
      <c r="A3" s="2" t="s">
        <v>103</v>
      </c>
      <c r="B3" s="3" t="s">
        <v>205</v>
      </c>
      <c r="C3" s="8"/>
      <c r="D3" s="5" t="s">
        <v>110</v>
      </c>
      <c r="E3" s="3" t="s">
        <v>179</v>
      </c>
    </row>
    <row r="4" spans="1:5" ht="30" x14ac:dyDescent="0.25">
      <c r="A4" s="2" t="s">
        <v>104</v>
      </c>
      <c r="B4" s="3" t="s">
        <v>190</v>
      </c>
      <c r="C4" s="8"/>
      <c r="D4" s="6" t="s">
        <v>175</v>
      </c>
      <c r="E4" s="3" t="s">
        <v>180</v>
      </c>
    </row>
    <row r="5" spans="1:5" ht="30" x14ac:dyDescent="0.25">
      <c r="A5" s="2" t="s">
        <v>186</v>
      </c>
      <c r="B5" s="3" t="s">
        <v>191</v>
      </c>
      <c r="C5" s="8"/>
      <c r="D5" s="6" t="s">
        <v>176</v>
      </c>
      <c r="E5" s="3" t="s">
        <v>177</v>
      </c>
    </row>
    <row r="6" spans="1:5" ht="45" x14ac:dyDescent="0.25">
      <c r="A6" s="2" t="s">
        <v>105</v>
      </c>
      <c r="B6" s="3" t="s">
        <v>183</v>
      </c>
      <c r="C6" s="8"/>
      <c r="D6" s="6" t="s">
        <v>112</v>
      </c>
      <c r="E6" s="3" t="s">
        <v>113</v>
      </c>
    </row>
    <row r="7" spans="1:5" ht="45" x14ac:dyDescent="0.25">
      <c r="A7" s="2" t="s">
        <v>184</v>
      </c>
      <c r="B7" s="3" t="s">
        <v>185</v>
      </c>
      <c r="C7" s="8"/>
      <c r="D7" s="7" t="s">
        <v>114</v>
      </c>
      <c r="E7" s="3" t="s">
        <v>181</v>
      </c>
    </row>
    <row r="8" spans="1:5" ht="30" x14ac:dyDescent="0.25">
      <c r="A8" s="2" t="s">
        <v>106</v>
      </c>
      <c r="B8" s="3" t="s">
        <v>187</v>
      </c>
      <c r="C8" s="8"/>
      <c r="D8" s="73" t="s">
        <v>145</v>
      </c>
      <c r="E8" s="3" t="s">
        <v>182</v>
      </c>
    </row>
    <row r="9" spans="1:5" x14ac:dyDescent="0.25">
      <c r="A9" s="2" t="s">
        <v>107</v>
      </c>
      <c r="B9" s="3" t="s">
        <v>188</v>
      </c>
      <c r="C9" s="9"/>
    </row>
    <row r="10" spans="1:5" ht="30" x14ac:dyDescent="0.25">
      <c r="A10" s="2" t="s">
        <v>108</v>
      </c>
      <c r="B10" s="3" t="s">
        <v>189</v>
      </c>
      <c r="C10" s="9"/>
      <c r="D10" s="4"/>
      <c r="E10" s="4"/>
    </row>
  </sheetData>
  <mergeCells count="2">
    <mergeCell ref="A1:B1"/>
    <mergeCell ref="D1:E1"/>
  </mergeCells>
  <pageMargins left="0.25" right="0.25" top="0.75" bottom="0.75" header="0.3" footer="0.3"/>
  <pageSetup scale="52" orientation="landscape" r:id="rId1"/>
  <headerFooter>
    <oddHeader>&amp;R&amp;A</oddHeader>
    <oddFooter>&amp;L&amp;F&amp;R&amp;D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5893-3573-4D4A-A96D-4A1B5B53EA82}">
  <sheetPr>
    <tabColor theme="6" tint="0.79998168889431442"/>
    <pageSetUpPr fitToPage="1"/>
  </sheetPr>
  <dimension ref="A1:D44"/>
  <sheetViews>
    <sheetView showZeros="0" tabSelected="1" zoomScaleNormal="100" workbookViewId="0">
      <selection activeCell="C22" sqref="C22"/>
    </sheetView>
  </sheetViews>
  <sheetFormatPr defaultColWidth="8.85546875" defaultRowHeight="15.75" x14ac:dyDescent="0.25"/>
  <cols>
    <col min="1" max="1" width="12.42578125" style="74" customWidth="1"/>
    <col min="2" max="2" width="51.85546875" style="74" customWidth="1"/>
    <col min="3" max="3" width="18.85546875" style="74" customWidth="1"/>
    <col min="4" max="4" width="16" style="74" customWidth="1"/>
    <col min="5" max="16384" width="8.85546875" style="74"/>
  </cols>
  <sheetData>
    <row r="1" spans="1:4" ht="18" customHeight="1" x14ac:dyDescent="0.25">
      <c r="A1" s="114" t="s">
        <v>192</v>
      </c>
      <c r="B1" s="115"/>
      <c r="C1" s="115"/>
      <c r="D1" s="116"/>
    </row>
    <row r="2" spans="1:4" x14ac:dyDescent="0.25">
      <c r="A2" s="111" t="s">
        <v>97</v>
      </c>
      <c r="B2" s="112"/>
      <c r="C2" s="112"/>
      <c r="D2" s="113"/>
    </row>
    <row r="3" spans="1:4" ht="31.5" x14ac:dyDescent="0.25">
      <c r="A3" s="75" t="s">
        <v>63</v>
      </c>
      <c r="B3" s="75" t="s">
        <v>64</v>
      </c>
      <c r="C3" s="75" t="s">
        <v>100</v>
      </c>
      <c r="D3" s="75" t="s">
        <v>65</v>
      </c>
    </row>
    <row r="4" spans="1:4" s="80" customFormat="1" x14ac:dyDescent="0.25">
      <c r="A4" s="76" t="s">
        <v>115</v>
      </c>
      <c r="B4" s="77" t="str">
        <f>_xlfn.XLOOKUP(CLAIMTABLE20[[#This Row],[CECRIS PIN]],CECPINDATA[CECRIS PIN],CECPINDATA[Program Name])</f>
        <v>PROB PUBLIC AGENCY IVE PASS THROUGH</v>
      </c>
      <c r="C4" s="78">
        <f>IFERROR(_xlfn.XLOOKUP(CLAIMTABLE20[[#This Row],[CECRIS PIN]],COSTCALC[CECRIS PIN],COSTCALC[Claimable Cost]),0)</f>
        <v>0</v>
      </c>
      <c r="D4" s="79"/>
    </row>
    <row r="5" spans="1:4" s="80" customFormat="1" x14ac:dyDescent="0.25">
      <c r="A5" s="76" t="s">
        <v>27</v>
      </c>
      <c r="B5" s="77" t="str">
        <f>_xlfn.XLOOKUP(CLAIMTABLE20[[#This Row],[CECRIS PIN]],CECPINDATA[CECRIS PIN],CECPINDATA[Program Name])</f>
        <v>PROB IVE CASE MANAGEMENT</v>
      </c>
      <c r="C5" s="81">
        <f>IFERROR(_xlfn.XLOOKUP(CLAIMTABLE20[[#This Row],[CECRIS PIN]],COSTCALC[CECRIS PIN],COSTCALC[Claimable Cost]),0)</f>
        <v>0</v>
      </c>
      <c r="D5" s="79"/>
    </row>
    <row r="6" spans="1:4" s="80" customFormat="1" x14ac:dyDescent="0.25">
      <c r="A6" s="76" t="s">
        <v>29</v>
      </c>
      <c r="B6" s="77" t="str">
        <f>_xlfn.XLOOKUP(CLAIMTABLE20[[#This Row],[CECRIS PIN]],CECPINDATA[CECRIS PIN],CECPINDATA[Program Name])</f>
        <v>PROB IVE PRE PLACEMENT PREV</v>
      </c>
      <c r="C6" s="81">
        <f>IFERROR(_xlfn.XLOOKUP(CLAIMTABLE20[[#This Row],[CECRIS PIN]],COSTCALC[CECRIS PIN],COSTCALC[Claimable Cost]),0)</f>
        <v>0</v>
      </c>
      <c r="D6" s="79"/>
    </row>
    <row r="7" spans="1:4" s="80" customFormat="1" x14ac:dyDescent="0.25">
      <c r="A7" s="82" t="s">
        <v>31</v>
      </c>
      <c r="B7" s="77" t="str">
        <f>_xlfn.XLOOKUP(CLAIMTABLE20[[#This Row],[CECRIS PIN]],CECPINDATA[CECRIS PIN],CECPINDATA[Program Name])</f>
        <v>PROB IVE TRAINING</v>
      </c>
      <c r="C7" s="81">
        <f>IFERROR(_xlfn.XLOOKUP(CLAIMTABLE20[[#This Row],[CECRIS PIN]],COSTCALC[CECRIS PIN],COSTCALC[Claimable Cost]),0)</f>
        <v>33915.266486645174</v>
      </c>
      <c r="D7" s="79"/>
    </row>
    <row r="8" spans="1:4" s="80" customFormat="1" x14ac:dyDescent="0.25">
      <c r="A8" s="82" t="s">
        <v>33</v>
      </c>
      <c r="B8" s="77" t="str">
        <f>_xlfn.XLOOKUP(CLAIMTABLE20[[#This Row],[CECRIS PIN]],CECPINDATA[CECRIS PIN],CECPINDATA[Program Name])</f>
        <v>PROB FED TRAINING PREVENT SEX TRAFFICKING</v>
      </c>
      <c r="C8" s="81">
        <f>IFERROR(_xlfn.XLOOKUP(CLAIMTABLE20[[#This Row],[CECRIS PIN]],COSTCALC[CECRIS PIN],COSTCALC[Claimable Cost]),0)</f>
        <v>0</v>
      </c>
      <c r="D8" s="79"/>
    </row>
    <row r="9" spans="1:4" s="80" customFormat="1" x14ac:dyDescent="0.25">
      <c r="A9" s="83" t="s">
        <v>117</v>
      </c>
      <c r="B9" s="77" t="str">
        <f>_xlfn.XLOOKUP(CLAIMTABLE20[[#This Row],[CECRIS PIN]],CECPINDATA[CECRIS PIN],CECPINDATA[Program Name])</f>
        <v>PROB HBFC LOCP FED</v>
      </c>
      <c r="C9" s="81">
        <f>IFERROR(_xlfn.XLOOKUP(CLAIMTABLE20[[#This Row],[CECRIS PIN]],COSTCALC[CECRIS PIN],COSTCALC[Claimable Cost]),0)</f>
        <v>0</v>
      </c>
      <c r="D9" s="79"/>
    </row>
    <row r="10" spans="1:4" s="80" customFormat="1" x14ac:dyDescent="0.25">
      <c r="A10" s="82" t="s">
        <v>119</v>
      </c>
      <c r="B10" s="77" t="str">
        <f>_xlfn.XLOOKUP(CLAIMTABLE20[[#This Row],[CECRIS PIN]],CECPINDATA[CECRIS PIN],CECPINDATA[Program Name])</f>
        <v>PROB HBFC LOCP NON FED</v>
      </c>
      <c r="C10" s="81">
        <f>IFERROR(_xlfn.XLOOKUP(CLAIMTABLE20[[#This Row],[CECRIS PIN]],COSTCALC[CECRIS PIN],COSTCALC[Claimable Cost]),0)</f>
        <v>0</v>
      </c>
      <c r="D10" s="79"/>
    </row>
    <row r="11" spans="1:4" s="80" customFormat="1" x14ac:dyDescent="0.25">
      <c r="A11" s="82" t="s">
        <v>35</v>
      </c>
      <c r="B11" s="77" t="str">
        <f>_xlfn.XLOOKUP(CLAIMTABLE20[[#This Row],[CECRIS PIN]],CECPINDATA[CECRIS PIN],CECPINDATA[Program Name])</f>
        <v>PROB MONTHLY VISITS/GROUP HOMES</v>
      </c>
      <c r="C11" s="81">
        <f>IFERROR(_xlfn.XLOOKUP(CLAIMTABLE20[[#This Row],[CECRIS PIN]],COSTCALC[CECRIS PIN],COSTCALC[Claimable Cost]),0)</f>
        <v>80247.724576559165</v>
      </c>
      <c r="D11" s="79"/>
    </row>
    <row r="12" spans="1:4" s="80" customFormat="1" x14ac:dyDescent="0.25">
      <c r="A12" s="82" t="s">
        <v>37</v>
      </c>
      <c r="B12" s="77" t="str">
        <f>_xlfn.XLOOKUP(CLAIMTABLE20[[#This Row],[CECRIS PIN]],CECPINDATA[CECRIS PIN],CECPINDATA[Program Name])</f>
        <v>PROB MONTHLY VISITS/GROUP HOMES NON FED</v>
      </c>
      <c r="C12" s="81">
        <f>IFERROR(_xlfn.XLOOKUP(CLAIMTABLE20[[#This Row],[CECRIS PIN]],COSTCALC[CECRIS PIN],COSTCALC[Claimable Cost]),0)</f>
        <v>47168.447616488818</v>
      </c>
      <c r="D12" s="79"/>
    </row>
    <row r="13" spans="1:4" s="80" customFormat="1" x14ac:dyDescent="0.25">
      <c r="A13" s="82" t="s">
        <v>39</v>
      </c>
      <c r="B13" s="77" t="str">
        <f>_xlfn.XLOOKUP(CLAIMTABLE20[[#This Row],[CECRIS PIN]],CECPINDATA[CECRIS PIN],CECPINDATA[Program Name])</f>
        <v>PROB EFC NON FED GHMV</v>
      </c>
      <c r="C13" s="81">
        <f>IFERROR(_xlfn.XLOOKUP(CLAIMTABLE20[[#This Row],[CECRIS PIN]],COSTCALC[CECRIS PIN],COSTCALC[Claimable Cost]),0)</f>
        <v>45238.570640216334</v>
      </c>
      <c r="D13" s="79"/>
    </row>
    <row r="14" spans="1:4" s="80" customFormat="1" x14ac:dyDescent="0.25">
      <c r="A14" s="82" t="s">
        <v>3</v>
      </c>
      <c r="B14" s="77" t="str">
        <f>_xlfn.XLOOKUP(CLAIMTABLE20[[#This Row],[CECRIS PIN]],CECPINDATA[CECRIS PIN],CECPINDATA[Program Name])</f>
        <v>PROB WRAPAROUND AFTERCARE SERVICES</v>
      </c>
      <c r="C14" s="81">
        <f>IFERROR(_xlfn.XLOOKUP(CLAIMTABLE20[[#This Row],[CECRIS PIN]],COSTCALC[CECRIS PIN],COSTCALC[Claimable Cost]),0)</f>
        <v>45819.879625867907</v>
      </c>
      <c r="D14" s="79"/>
    </row>
    <row r="15" spans="1:4" s="80" customFormat="1" x14ac:dyDescent="0.25">
      <c r="A15" s="82" t="s">
        <v>41</v>
      </c>
      <c r="B15" s="77" t="str">
        <f>_xlfn.XLOOKUP(CLAIMTABLE20[[#This Row],[CECRIS PIN]],CECPINDATA[CECRIS PIN],CECPINDATA[Program Name])</f>
        <v>PROB EFC GH MO VISITS</v>
      </c>
      <c r="C15" s="81">
        <f>IFERROR(_xlfn.XLOOKUP(CLAIMTABLE20[[#This Row],[CECRIS PIN]],COSTCALC[CECRIS PIN],COSTCALC[Claimable Cost]),0)</f>
        <v>76964.423050129044</v>
      </c>
      <c r="D15" s="79"/>
    </row>
    <row r="16" spans="1:4" s="80" customFormat="1" x14ac:dyDescent="0.25">
      <c r="A16" s="76" t="s">
        <v>121</v>
      </c>
      <c r="B16" s="77" t="str">
        <f>_xlfn.XLOOKUP(CLAIMTABLE20[[#This Row],[CECRIS PIN]],CECPINDATA[CECRIS PIN],CECPINDATA[Program Name])</f>
        <v>PROB EFC PUBLIC AGENCY IVE PASS THROUGH</v>
      </c>
      <c r="C16" s="81">
        <f>IFERROR(_xlfn.XLOOKUP(CLAIMTABLE20[[#This Row],[CECRIS PIN]],COSTCALC[CECRIS PIN],COSTCALC[Claimable Cost]),0)</f>
        <v>0</v>
      </c>
      <c r="D16" s="79"/>
    </row>
    <row r="17" spans="1:4" s="80" customFormat="1" x14ac:dyDescent="0.25">
      <c r="A17" s="76" t="s">
        <v>43</v>
      </c>
      <c r="B17" s="77" t="str">
        <f>_xlfn.XLOOKUP(CLAIMTABLE20[[#This Row],[CECRIS PIN]],CECPINDATA[CECRIS PIN],CECPINDATA[Program Name])</f>
        <v>PROB EFC CASE MANAGEMENT</v>
      </c>
      <c r="C17" s="81">
        <f>IFERROR(_xlfn.XLOOKUP(CLAIMTABLE20[[#This Row],[CECRIS PIN]],COSTCALC[CECRIS PIN],COSTCALC[Claimable Cost]),0)</f>
        <v>0</v>
      </c>
      <c r="D17" s="79"/>
    </row>
    <row r="18" spans="1:4" s="80" customFormat="1" x14ac:dyDescent="0.25">
      <c r="A18" s="76" t="s">
        <v>45</v>
      </c>
      <c r="B18" s="77" t="str">
        <f>_xlfn.XLOOKUP(CLAIMTABLE20[[#This Row],[CECRIS PIN]],CECPINDATA[CECRIS PIN],CECPINDATA[Program Name])</f>
        <v>PROB EFC IVE TRAINING</v>
      </c>
      <c r="C18" s="81">
        <f>IFERROR(_xlfn.XLOOKUP(CLAIMTABLE20[[#This Row],[CECRIS PIN]],COSTCALC[CECRIS PIN],COSTCALC[Claimable Cost]),0)</f>
        <v>0</v>
      </c>
      <c r="D18" s="79"/>
    </row>
    <row r="19" spans="1:4" s="80" customFormat="1" x14ac:dyDescent="0.25">
      <c r="A19" s="76" t="s">
        <v>123</v>
      </c>
      <c r="B19" s="77" t="str">
        <f>_xlfn.XLOOKUP(CLAIMTABLE20[[#This Row],[CECRIS PIN]],CECPINDATA[CECRIS PIN],CECPINDATA[Program Name])</f>
        <v>PROB EFC PROB IVE TRAINING ADMIN</v>
      </c>
      <c r="C19" s="81">
        <f>IFERROR(_xlfn.XLOOKUP(CLAIMTABLE20[[#This Row],[CECRIS PIN]],COSTCALC[CECRIS PIN],COSTCALC[Claimable Cost]),0)</f>
        <v>0</v>
      </c>
      <c r="D19" s="79"/>
    </row>
    <row r="20" spans="1:4" s="80" customFormat="1" x14ac:dyDescent="0.25">
      <c r="A20" s="76" t="s">
        <v>7</v>
      </c>
      <c r="B20" s="77" t="str">
        <f>_xlfn.XLOOKUP(CLAIMTABLE20[[#This Row],[CECRIS PIN]],CECPINDATA[CECRIS PIN],CECPINDATA[Program Name])</f>
        <v>PROB ADMINISTRATIVE QI SUPPORT UNDER 18 FED</v>
      </c>
      <c r="C20" s="81">
        <f>IFERROR(_xlfn.XLOOKUP(CLAIMTABLE20[[#This Row],[CECRIS PIN]],COSTCALC[CECRIS PIN],COSTCALC[Claimable Cost]),0)</f>
        <v>0</v>
      </c>
      <c r="D20" s="79"/>
    </row>
    <row r="21" spans="1:4" s="80" customFormat="1" x14ac:dyDescent="0.25">
      <c r="A21" s="76" t="s">
        <v>10</v>
      </c>
      <c r="B21" s="77" t="str">
        <f>_xlfn.XLOOKUP(CLAIMTABLE20[[#This Row],[CECRIS PIN]],CECPINDATA[CECRIS PIN],CECPINDATA[Program Name])</f>
        <v xml:space="preserve">PROB RESOURCE FAMILY APPROVAL PROB </v>
      </c>
      <c r="C21" s="81">
        <f>IFERROR(_xlfn.XLOOKUP(CLAIMTABLE20[[#This Row],[CECRIS PIN]],COSTCALC[CECRIS PIN],COSTCALC[Claimable Cost]),0)</f>
        <v>95200.748032688221</v>
      </c>
      <c r="D21" s="79"/>
    </row>
    <row r="22" spans="1:4" s="80" customFormat="1" x14ac:dyDescent="0.25">
      <c r="A22" s="76" t="s">
        <v>12</v>
      </c>
      <c r="B22" s="77" t="str">
        <f>_xlfn.XLOOKUP(CLAIMTABLE20[[#This Row],[CECRIS PIN]],CECPINDATA[CECRIS PIN],CECPINDATA[Program Name])</f>
        <v>PROB RFA PROB NON FED</v>
      </c>
      <c r="C22" s="81">
        <f>IFERROR(_xlfn.XLOOKUP(CLAIMTABLE20[[#This Row],[CECRIS PIN]],COSTCALC[CECRIS PIN],COSTCALC[Claimable Cost]),0)</f>
        <v>55957.617743370851</v>
      </c>
      <c r="D22" s="79"/>
    </row>
    <row r="23" spans="1:4" s="80" customFormat="1" x14ac:dyDescent="0.25">
      <c r="A23" s="76" t="s">
        <v>14</v>
      </c>
      <c r="B23" s="77" t="str">
        <f>_xlfn.XLOOKUP(CLAIMTABLE20[[#This Row],[CECRIS PIN]],CECPINDATA[CECRIS PIN],CECPINDATA[Program Name])</f>
        <v>PROB ADMINISTRATIVE QI SUPPORT NMD FED</v>
      </c>
      <c r="C23" s="78">
        <f>IFERROR(_xlfn.XLOOKUP(CLAIMTABLE20[[#This Row],[CECRIS PIN]],COSTCALC[CECRIS PIN],COSTCALC[Claimable Cost]),0)</f>
        <v>0</v>
      </c>
      <c r="D23" s="79"/>
    </row>
    <row r="24" spans="1:4" s="80" customFormat="1" x14ac:dyDescent="0.25">
      <c r="A24" s="76" t="s">
        <v>9</v>
      </c>
      <c r="B24" s="77" t="str">
        <f>_xlfn.XLOOKUP(CLAIMTABLE20[[#This Row],[CECRIS PIN]],CECPINDATA[CECRIS PIN],CECPINDATA[Program Name])</f>
        <v>PROB ADMINISTRATIVE QI SUPPORT NON FED</v>
      </c>
      <c r="C24" s="78">
        <f>IFERROR(_xlfn.XLOOKUP(CLAIMTABLE20[[#This Row],[CECRIS PIN]],COSTCALC[CECRIS PIN],COSTCALC[Claimable Cost]),0)</f>
        <v>0</v>
      </c>
      <c r="D24" s="79"/>
    </row>
    <row r="25" spans="1:4" x14ac:dyDescent="0.25">
      <c r="A25" s="84" t="s">
        <v>47</v>
      </c>
      <c r="B25" s="85" t="str">
        <f>_xlfn.XLOOKUP(CLAIMTABLE20[[#This Row],[CECRIS PIN]],CECPINDATA[CECRIS PIN],CECPINDATA[Program Name])</f>
        <v>PROB FED PREVENTING SEX TRAFFICKING &amp; RUNAWAY</v>
      </c>
      <c r="C25" s="86">
        <f>IFERROR(_xlfn.XLOOKUP(CLAIMTABLE20[[#This Row],[CECRIS PIN]],COSTCALC[CECRIS PIN],COSTCALC[Claimable Cost]),0)</f>
        <v>0</v>
      </c>
      <c r="D25" s="87"/>
    </row>
    <row r="26" spans="1:4" x14ac:dyDescent="0.25">
      <c r="A26" s="84" t="s">
        <v>16</v>
      </c>
      <c r="B26" s="85" t="str">
        <f>_xlfn.XLOOKUP(CLAIMTABLE20[[#This Row],[CECRIS PIN]],CECPINDATA[CECRIS PIN],CECPINDATA[Program Name])</f>
        <v>PROB ADMINISTRATIVE QI SUPPORT NMD NON FED</v>
      </c>
      <c r="C26" s="86">
        <f>IFERROR(_xlfn.XLOOKUP(CLAIMTABLE20[[#This Row],[CECRIS PIN]],COSTCALC[CECRIS PIN],COSTCALC[Claimable Cost]),0)</f>
        <v>0</v>
      </c>
      <c r="D26" s="87"/>
    </row>
    <row r="27" spans="1:4" x14ac:dyDescent="0.25">
      <c r="A27" s="84" t="s">
        <v>19</v>
      </c>
      <c r="B27" s="85" t="str">
        <f>_xlfn.XLOOKUP(CLAIMTABLE20[[#This Row],[CECRIS PIN]],CECPINDATA[CECRIS PIN],CECPINDATA[Program Name])</f>
        <v>PROB CHILD &amp; FAMILY TEAM (CFT)</v>
      </c>
      <c r="C27" s="86">
        <f>IFERROR(_xlfn.XLOOKUP(CLAIMTABLE20[[#This Row],[CECRIS PIN]],COSTCALC[CECRIS PIN],COSTCALC[Claimable Cost]),0)</f>
        <v>0</v>
      </c>
      <c r="D27" s="87"/>
    </row>
    <row r="28" spans="1:4" x14ac:dyDescent="0.25">
      <c r="A28" s="84" t="s">
        <v>21</v>
      </c>
      <c r="B28" s="85" t="str">
        <f>_xlfn.XLOOKUP(CLAIMTABLE20[[#This Row],[CECRIS PIN]],CECPINDATA[CECRIS PIN],CECPINDATA[Program Name])</f>
        <v>PROB CFT NON FED</v>
      </c>
      <c r="C28" s="86">
        <f>IFERROR(_xlfn.XLOOKUP(CLAIMTABLE20[[#This Row],[CECRIS PIN]],COSTCALC[CECRIS PIN],COSTCALC[Claimable Cost]),0)</f>
        <v>0</v>
      </c>
      <c r="D28" s="87"/>
    </row>
    <row r="29" spans="1:4" x14ac:dyDescent="0.25">
      <c r="A29" s="84" t="s">
        <v>49</v>
      </c>
      <c r="B29" s="85" t="str">
        <f>_xlfn.XLOOKUP(CLAIMTABLE20[[#This Row],[CECRIS PIN]],CECPINDATA[CECRIS PIN],CECPINDATA[Program Name])</f>
        <v>PROB FED PREVENTING SEX TRAFFICKING–CANDIDATES</v>
      </c>
      <c r="C29" s="86">
        <f>IFERROR(_xlfn.XLOOKUP(CLAIMTABLE20[[#This Row],[CECRIS PIN]],COSTCALC[CECRIS PIN],COSTCALC[Claimable Cost]),0)</f>
        <v>0</v>
      </c>
      <c r="D29" s="87"/>
    </row>
    <row r="30" spans="1:4" x14ac:dyDescent="0.25">
      <c r="A30" s="84" t="s">
        <v>23</v>
      </c>
      <c r="B30" s="85" t="str">
        <f>_xlfn.XLOOKUP(CLAIMTABLE20[[#This Row],[CECRIS PIN]],CECPINDATA[CECRIS PIN],CECPINDATA[Program Name])</f>
        <v>PROB CFT NON FED DETENTION</v>
      </c>
      <c r="C30" s="86">
        <f>IFERROR(_xlfn.XLOOKUP(CLAIMTABLE20[[#This Row],[CECRIS PIN]],COSTCALC[CECRIS PIN],COSTCALC[Claimable Cost]),0)</f>
        <v>0</v>
      </c>
      <c r="D30" s="87"/>
    </row>
    <row r="31" spans="1:4" x14ac:dyDescent="0.25">
      <c r="A31" s="84" t="s">
        <v>155</v>
      </c>
      <c r="B31" s="85" t="str">
        <f>_xlfn.XLOOKUP(CLAIMTABLE20[[#This Row],[CECRIS PIN]],CECPINDATA[CECRIS PIN],CECPINDATA[Program Name])</f>
        <v>PROB CAPACITY BUILDING FED</v>
      </c>
      <c r="C31" s="86">
        <f>IFERROR(_xlfn.XLOOKUP(CLAIMTABLE20[[#This Row],[CECRIS PIN]],COSTCALC[CECRIS PIN],COSTCALC[Claimable Cost]),0)</f>
        <v>0</v>
      </c>
      <c r="D31" s="87"/>
    </row>
    <row r="32" spans="1:4" x14ac:dyDescent="0.25">
      <c r="A32" s="84" t="s">
        <v>156</v>
      </c>
      <c r="B32" s="85" t="str">
        <f>_xlfn.XLOOKUP(CLAIMTABLE20[[#This Row],[CECRIS PIN]],CECPINDATA[CECRIS PIN],CECPINDATA[Program Name])</f>
        <v>PROB CAPACITY BUILDING NON FED</v>
      </c>
      <c r="C32" s="86">
        <f>IFERROR(_xlfn.XLOOKUP(CLAIMTABLE20[[#This Row],[CECRIS PIN]],COSTCALC[CECRIS PIN],COSTCALC[Claimable Cost]),0)</f>
        <v>0</v>
      </c>
      <c r="D32" s="87"/>
    </row>
    <row r="33" spans="1:4" x14ac:dyDescent="0.25">
      <c r="A33" s="84" t="s">
        <v>51</v>
      </c>
      <c r="B33" s="85" t="str">
        <f>_xlfn.XLOOKUP(CLAIMTABLE20[[#This Row],[CECRIS PIN]],CECPINDATA[CECRIS PIN],CECPINDATA[Program Name])</f>
        <v>PROB IVE PREVENTION ADMIN</v>
      </c>
      <c r="C33" s="86">
        <f>IFERROR(_xlfn.XLOOKUP(CLAIMTABLE20[[#This Row],[CECRIS PIN]],COSTCALC[CECRIS PIN],COSTCALC[Claimable Cost]),0)</f>
        <v>0</v>
      </c>
      <c r="D33" s="87"/>
    </row>
    <row r="34" spans="1:4" x14ac:dyDescent="0.25">
      <c r="A34" s="84" t="s">
        <v>53</v>
      </c>
      <c r="B34" s="85" t="str">
        <f>_xlfn.XLOOKUP(CLAIMTABLE20[[#This Row],[CECRIS PIN]],CECPINDATA[CECRIS PIN],CECPINDATA[Program Name])</f>
        <v>PROB IVE PREVENTION TRAINING</v>
      </c>
      <c r="C34" s="86">
        <f>IFERROR(_xlfn.XLOOKUP(CLAIMTABLE20[[#This Row],[CECRIS PIN]],COSTCALC[CECRIS PIN],COSTCALC[Claimable Cost]),0)</f>
        <v>0</v>
      </c>
      <c r="D34" s="87"/>
    </row>
    <row r="35" spans="1:4" x14ac:dyDescent="0.25">
      <c r="A35" s="84" t="s">
        <v>55</v>
      </c>
      <c r="B35" s="85" t="str">
        <f>_xlfn.XLOOKUP(CLAIMTABLE20[[#This Row],[CECRIS PIN]],CECPINDATA[CECRIS PIN],CECPINDATA[Program Name])</f>
        <v>PROB FFPS STATE BLOCK GRANT PREVENTION ADMIN &amp; TRAINING</v>
      </c>
      <c r="C35" s="86">
        <f>IFERROR(_xlfn.XLOOKUP(CLAIMTABLE20[[#This Row],[CECRIS PIN]],COSTCALC[CECRIS PIN],COSTCALC[Claimable Cost]),0)</f>
        <v>0</v>
      </c>
      <c r="D35" s="87"/>
    </row>
    <row r="36" spans="1:4" x14ac:dyDescent="0.25">
      <c r="A36" s="84" t="s">
        <v>57</v>
      </c>
      <c r="B36" s="85" t="str">
        <f>_xlfn.XLOOKUP(CLAIMTABLE20[[#This Row],[CECRIS PIN]],CECPINDATA[CECRIS PIN],CECPINDATA[Program Name])</f>
        <v>PROB FFPS STATE BLOCK GRANT PREVENTION SERVICES</v>
      </c>
      <c r="C36" s="86">
        <f>IFERROR(_xlfn.XLOOKUP(CLAIMTABLE20[[#This Row],[CECRIS PIN]],COSTCALC[CECRIS PIN],COSTCALC[Claimable Cost]),0)</f>
        <v>0</v>
      </c>
      <c r="D36" s="87"/>
    </row>
    <row r="37" spans="1:4" x14ac:dyDescent="0.25">
      <c r="A37" s="84" t="s">
        <v>59</v>
      </c>
      <c r="B37" s="85" t="str">
        <f>_xlfn.XLOOKUP(CLAIMTABLE20[[#This Row],[CECRIS PIN]],CECPINDATA[CECRIS PIN],CECPINDATA[Program Name])</f>
        <v>PROB FLEXIBLE FAMILY SUPPORTS &amp; HOME BASED FC</v>
      </c>
      <c r="C37" s="86">
        <f>IFERROR(_xlfn.XLOOKUP(CLAIMTABLE20[[#This Row],[CECRIS PIN]],COSTCALC[CECRIS PIN],COSTCALC[Claimable Cost]),0)</f>
        <v>0</v>
      </c>
      <c r="D37" s="87"/>
    </row>
    <row r="38" spans="1:4" x14ac:dyDescent="0.25">
      <c r="A38" s="84" t="s">
        <v>125</v>
      </c>
      <c r="B38" s="85" t="str">
        <f>_xlfn.XLOOKUP(CLAIMTABLE20[[#This Row],[CECRIS PIN]],CECPINDATA[CECRIS PIN],CECPINDATA[Program Name])</f>
        <v>PROB FAM FIND DIR EXPEND OR PUBLIC 3RD PARTY IN KIND MATCH</v>
      </c>
      <c r="C38" s="86">
        <f>IFERROR(_xlfn.XLOOKUP(CLAIMTABLE20[[#This Row],[CECRIS PIN]],COSTCALC[CECRIS PIN],COSTCALC[Claimable Cost]),0)</f>
        <v>0</v>
      </c>
      <c r="D38" s="87"/>
    </row>
    <row r="39" spans="1:4" x14ac:dyDescent="0.25">
      <c r="A39" s="84" t="s">
        <v>127</v>
      </c>
      <c r="B39" s="85" t="str">
        <f>_xlfn.XLOOKUP(CLAIMTABLE20[[#This Row],[CECRIS PIN]],CECPINDATA[CECRIS PIN],CECPINDATA[Program Name])</f>
        <v>PROB FAM FIND INTERNAL PROB OR PRIVATE 3RD PARTY IN KIND MATCH</v>
      </c>
      <c r="C39" s="86">
        <f>IFERROR(_xlfn.XLOOKUP(CLAIMTABLE20[[#This Row],[CECRIS PIN]],COSTCALC[CECRIS PIN],COSTCALC[Claimable Cost]),0)</f>
        <v>0</v>
      </c>
      <c r="D39" s="87"/>
    </row>
    <row r="40" spans="1:4" x14ac:dyDescent="0.25">
      <c r="A40" s="84" t="s">
        <v>126</v>
      </c>
      <c r="B40" s="85" t="str">
        <f>_xlfn.XLOOKUP(CLAIMTABLE20[[#This Row],[CECRIS PIN]],CECPINDATA[CECRIS PIN],CECPINDATA[Program Name])</f>
        <v>PROB FAM FIND DIR EXPEND OR PUBLIC 3RD PARTY IN KIND MATCH NON FED</v>
      </c>
      <c r="C40" s="86">
        <f>IFERROR(_xlfn.XLOOKUP(CLAIMTABLE20[[#This Row],[CECRIS PIN]],COSTCALC[CECRIS PIN],COSTCALC[Claimable Cost]),0)</f>
        <v>0</v>
      </c>
      <c r="D40" s="87"/>
    </row>
    <row r="41" spans="1:4" x14ac:dyDescent="0.25">
      <c r="A41" s="84" t="s">
        <v>128</v>
      </c>
      <c r="B41" s="85" t="str">
        <f>_xlfn.XLOOKUP(CLAIMTABLE20[[#This Row],[CECRIS PIN]],CECPINDATA[CECRIS PIN],CECPINDATA[Program Name])</f>
        <v>PROB FAM FIND INTERNAL PROB OR PRIVATE 3RD PARTY IN KIND MATCH NON FED</v>
      </c>
      <c r="C41" s="86">
        <f>IFERROR(_xlfn.XLOOKUP(CLAIMTABLE20[[#This Row],[CECRIS PIN]],COSTCALC[CECRIS PIN],COSTCALC[Claimable Cost]),0)</f>
        <v>0</v>
      </c>
      <c r="D41" s="87"/>
    </row>
    <row r="42" spans="1:4" x14ac:dyDescent="0.25">
      <c r="A42" s="84" t="s">
        <v>129</v>
      </c>
      <c r="B42" s="85" t="str">
        <f>_xlfn.XLOOKUP(CLAIMTABLE20[[#This Row],[CECRIS PIN]],CECPINDATA[CECRIS PIN],CECPINDATA[Program Name])</f>
        <v>PROB FAM FIND TRAINING DIR EXPEND OR PUBLIC 3RD PARTY IN KIND MATCH</v>
      </c>
      <c r="C42" s="86">
        <f>IFERROR(_xlfn.XLOOKUP(CLAIMTABLE20[[#This Row],[CECRIS PIN]],COSTCALC[CECRIS PIN],COSTCALC[Claimable Cost]),0)</f>
        <v>0</v>
      </c>
      <c r="D42" s="87"/>
    </row>
    <row r="43" spans="1:4" x14ac:dyDescent="0.25">
      <c r="A43" s="84" t="s">
        <v>130</v>
      </c>
      <c r="B43" s="85" t="str">
        <f>_xlfn.XLOOKUP(CLAIMTABLE20[[#This Row],[CECRIS PIN]],CECPINDATA[CECRIS PIN],CECPINDATA[Program Name])</f>
        <v>PROB FAM FIND TRAINING INTERNAL PROB OR PRIVATE 3RD PARTY IN KIND MATCH</v>
      </c>
      <c r="C43" s="86">
        <f>IFERROR(_xlfn.XLOOKUP(CLAIMTABLE20[[#This Row],[CECRIS PIN]],COSTCALC[CECRIS PIN],COSTCALC[Claimable Cost]),0)</f>
        <v>0</v>
      </c>
      <c r="D43" s="87"/>
    </row>
    <row r="44" spans="1:4" x14ac:dyDescent="0.25">
      <c r="A44" s="88" t="s">
        <v>66</v>
      </c>
      <c r="B44" s="88"/>
      <c r="C44" s="89">
        <f>SUBTOTAL(109,CLAIMTABLE20[Claimed Costs])</f>
        <v>480512.67777196551</v>
      </c>
      <c r="D44" s="88"/>
    </row>
  </sheetData>
  <mergeCells count="2">
    <mergeCell ref="A2:D2"/>
    <mergeCell ref="A1:D1"/>
  </mergeCells>
  <phoneticPr fontId="3" type="noConversion"/>
  <printOptions horizontalCentered="1" verticalCentered="1"/>
  <pageMargins left="0.25" right="0.25" top="0.5" bottom="0.5" header="0.25" footer="0.25"/>
  <pageSetup scale="77" orientation="landscape" r:id="rId1"/>
  <headerFooter scaleWithDoc="0" alignWithMargins="0">
    <oddHeader>&amp;R&amp;A</oddHeader>
    <oddFooter>&amp;L&amp;F&amp;R&amp;D</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1DA48-08F0-44C4-A286-2F4FB86EC3ED}">
  <sheetPr>
    <tabColor theme="6" tint="0.79998168889431442"/>
    <pageSetUpPr fitToPage="1"/>
  </sheetPr>
  <dimension ref="A1:S825"/>
  <sheetViews>
    <sheetView showZeros="0" topLeftCell="A28" zoomScaleNormal="100" workbookViewId="0">
      <selection activeCell="M47" sqref="M47"/>
    </sheetView>
  </sheetViews>
  <sheetFormatPr defaultColWidth="15.7109375" defaultRowHeight="15.75" x14ac:dyDescent="0.25"/>
  <cols>
    <col min="1" max="1" width="14.140625" style="56" customWidth="1"/>
    <col min="2" max="2" width="48.140625" style="51" customWidth="1"/>
    <col min="3" max="3" width="17.42578125" style="105" customWidth="1"/>
    <col min="4" max="7" width="17.42578125" style="106" customWidth="1"/>
    <col min="8" max="13" width="17.42578125" style="90" customWidth="1"/>
    <col min="14" max="14" width="3.7109375" style="52" customWidth="1"/>
    <col min="15" max="19" width="15.7109375" style="52"/>
    <col min="20" max="16384" width="15.7109375" style="51"/>
  </cols>
  <sheetData>
    <row r="1" spans="1:19" s="29" customFormat="1" ht="26.25" customHeight="1" x14ac:dyDescent="0.25">
      <c r="A1" s="117" t="s">
        <v>193</v>
      </c>
      <c r="B1" s="117"/>
      <c r="C1" s="121" t="s">
        <v>194</v>
      </c>
      <c r="D1" s="121"/>
      <c r="E1" s="119" t="s">
        <v>195</v>
      </c>
      <c r="F1" s="119" t="s">
        <v>198</v>
      </c>
      <c r="G1" s="117" t="s">
        <v>196</v>
      </c>
      <c r="H1" s="119" t="s">
        <v>199</v>
      </c>
      <c r="I1" s="119"/>
      <c r="J1" s="117" t="s">
        <v>197</v>
      </c>
      <c r="K1" s="119" t="s">
        <v>166</v>
      </c>
      <c r="L1" s="119"/>
      <c r="M1" s="117" t="s">
        <v>174</v>
      </c>
      <c r="N1" s="92"/>
      <c r="O1" s="92"/>
      <c r="P1" s="92"/>
      <c r="Q1" s="92"/>
      <c r="R1" s="92"/>
      <c r="S1" s="92"/>
    </row>
    <row r="2" spans="1:19" s="29" customFormat="1" ht="35.25" customHeight="1" x14ac:dyDescent="0.25">
      <c r="A2" s="117"/>
      <c r="B2" s="117"/>
      <c r="C2" s="121"/>
      <c r="D2" s="121"/>
      <c r="E2" s="119"/>
      <c r="F2" s="119"/>
      <c r="G2" s="117"/>
      <c r="H2" s="119"/>
      <c r="I2" s="119"/>
      <c r="J2" s="117"/>
      <c r="K2" s="119"/>
      <c r="L2" s="119"/>
      <c r="M2" s="117"/>
      <c r="N2" s="92"/>
      <c r="O2" s="92"/>
      <c r="P2" s="92"/>
      <c r="Q2" s="92"/>
      <c r="R2" s="92"/>
      <c r="S2" s="92"/>
    </row>
    <row r="3" spans="1:19" x14ac:dyDescent="0.25">
      <c r="A3" s="118"/>
      <c r="B3" s="118"/>
      <c r="C3" s="123" t="s">
        <v>67</v>
      </c>
      <c r="D3" s="123"/>
      <c r="E3" s="107" t="s">
        <v>101</v>
      </c>
      <c r="F3" s="122"/>
      <c r="G3" s="126"/>
      <c r="H3" s="122" t="s">
        <v>170</v>
      </c>
      <c r="I3" s="122"/>
      <c r="J3" s="120"/>
      <c r="K3" s="120"/>
      <c r="L3" s="120"/>
      <c r="M3" s="120"/>
    </row>
    <row r="4" spans="1:19" x14ac:dyDescent="0.25">
      <c r="A4" s="118"/>
      <c r="B4" s="118"/>
      <c r="C4" s="124">
        <f>PAYDATA[[#Totals],[Amount]]</f>
        <v>1800000</v>
      </c>
      <c r="D4" s="124"/>
      <c r="E4" s="108">
        <v>0.58427613574664672</v>
      </c>
      <c r="F4" s="122"/>
      <c r="G4" s="126"/>
      <c r="H4" s="125">
        <v>0.62980800000000003</v>
      </c>
      <c r="I4" s="125"/>
      <c r="J4" s="120"/>
      <c r="K4" s="120"/>
      <c r="L4" s="120"/>
      <c r="M4" s="120"/>
    </row>
    <row r="5" spans="1:19" s="19" customFormat="1" ht="66.75" customHeight="1" x14ac:dyDescent="0.25">
      <c r="A5" s="25" t="s">
        <v>63</v>
      </c>
      <c r="B5" s="25" t="s">
        <v>0</v>
      </c>
      <c r="C5" s="53" t="s">
        <v>69</v>
      </c>
      <c r="D5" s="54" t="s">
        <v>173</v>
      </c>
      <c r="E5" s="54" t="s">
        <v>89</v>
      </c>
      <c r="F5" s="54" t="s">
        <v>171</v>
      </c>
      <c r="G5" s="54" t="s">
        <v>70</v>
      </c>
      <c r="H5" s="54" t="s">
        <v>169</v>
      </c>
      <c r="I5" s="54" t="s">
        <v>167</v>
      </c>
      <c r="J5" s="54" t="s">
        <v>168</v>
      </c>
      <c r="K5" s="54" t="s">
        <v>71</v>
      </c>
      <c r="L5" s="25" t="s">
        <v>72</v>
      </c>
      <c r="M5" s="55" t="s">
        <v>172</v>
      </c>
      <c r="N5" s="52"/>
      <c r="O5" s="52"/>
      <c r="P5" s="52"/>
      <c r="Q5" s="52"/>
      <c r="R5" s="52"/>
      <c r="S5" s="52"/>
    </row>
    <row r="6" spans="1:19" x14ac:dyDescent="0.25">
      <c r="A6" s="20" t="s">
        <v>115</v>
      </c>
      <c r="B6" s="21" t="str">
        <f>_xlfn.XLOOKUP(COSTCALC[[#This Row],[CECRIS PIN]],CECPINDATA[CECRIS PIN],CECPINDATA[Program Name])</f>
        <v>PROB PUBLIC AGENCY IVE PASS THROUGH</v>
      </c>
      <c r="C6" s="93">
        <f>IFERROR(_xlfn.XLOOKUP(COSTCALC[[#This Row],[CECRIS PIN]],TIMESTUDYSUMM[CECRIS PIN],TIMESTUDYSUMM[Allocable Hours %]),0)</f>
        <v>0</v>
      </c>
      <c r="D6" s="94">
        <f>$C$4*COSTCALC[[#This Row],[Allocable Hours (%)]]</f>
        <v>0</v>
      </c>
      <c r="E6" s="94">
        <f>$E$4*COSTCALC[[#This Row],[Payroll Cost]]</f>
        <v>0</v>
      </c>
      <c r="F6" s="94">
        <f>IFERROR(_xlfn.XLOOKUP(COSTCALC[[#This Row],[CECRIS PIN]],COSTSUMM[CECRIS PIN],COSTSUMM[Cost]),0)</f>
        <v>0</v>
      </c>
      <c r="G6" s="94">
        <f>COSTCALC[[#This Row],[Non Payroll Cost]]+COSTCALC[[#This Row],[Indirect Cost]]+COSTCALC[[#This Row],[Payroll Cost]]</f>
        <v>0</v>
      </c>
      <c r="H6" s="95" t="str">
        <f>_xlfn.XLOOKUP(COSTCALC[[#This Row],[CECRIS PIN]],CECPINDATA[CECRIS PIN],CECPINDATA[DISCOUNT RATE])</f>
        <v>Y</v>
      </c>
      <c r="I6" s="94">
        <f>IF(COSTCALC[[#This Row],[Apply Federal Discount Rate]]="Y",COSTCALC[[#This Row],[Total Program Cost]]*$H$4,COSTCALC[[#This Row],[Total Program Cost]])</f>
        <v>0</v>
      </c>
      <c r="J6" s="94">
        <f>COSTCALC[[#This Row],[Total Program Cost]]-COSTCALC[[#This Row],[Federal Cost]]</f>
        <v>0</v>
      </c>
      <c r="K6" s="94">
        <f>IFERROR(_xlfn.XLOOKUP(COSTCALC[[#This Row],[Residual of PIN]],COSTCALC[CECRIS PIN],COSTCALC[Non Fed Cost]),0)</f>
        <v>0</v>
      </c>
      <c r="L6" s="95" t="str">
        <f>_xlfn.XLOOKUP(COSTCALC[[#This Row],[CECRIS PIN]],CECPINDATA[CECRIS PIN],CECPINDATA[Non Fed Residual Of])</f>
        <v/>
      </c>
      <c r="M6" s="96">
        <f>IF(COSTCALC[[#This Row],[CECRIS PIN]]="Prob Only",0,COSTCALC[[#This Row],[Federal Cost]]+COSTCALC[[#This Row],[NonFed Cost Claimed]])</f>
        <v>0</v>
      </c>
    </row>
    <row r="7" spans="1:19" x14ac:dyDescent="0.25">
      <c r="A7" s="20" t="s">
        <v>27</v>
      </c>
      <c r="B7" s="21" t="str">
        <f>_xlfn.XLOOKUP(COSTCALC[[#This Row],[CECRIS PIN]],CECPINDATA[CECRIS PIN],CECPINDATA[Program Name])</f>
        <v>PROB IVE CASE MANAGEMENT</v>
      </c>
      <c r="C7" s="93">
        <f>IFERROR(_xlfn.XLOOKUP(COSTCALC[[#This Row],[CECRIS PIN]],TIMESTUDYSUMM[CECRIS PIN],TIMESTUDYSUMM[Allocable Hours %]),0)</f>
        <v>0</v>
      </c>
      <c r="D7" s="94">
        <f>$C$4*COSTCALC[[#This Row],[Allocable Hours (%)]]</f>
        <v>0</v>
      </c>
      <c r="E7" s="94">
        <f>$E$4*COSTCALC[[#This Row],[Payroll Cost]]</f>
        <v>0</v>
      </c>
      <c r="F7" s="94">
        <f>IFERROR(_xlfn.XLOOKUP(COSTCALC[[#This Row],[CECRIS PIN]],COSTSUMM[CECRIS PIN],COSTSUMM[Cost]),0)</f>
        <v>0</v>
      </c>
      <c r="G7" s="94">
        <f>COSTCALC[[#This Row],[Non Payroll Cost]]+COSTCALC[[#This Row],[Indirect Cost]]+COSTCALC[[#This Row],[Payroll Cost]]</f>
        <v>0</v>
      </c>
      <c r="H7" s="97" t="str">
        <f>_xlfn.XLOOKUP(COSTCALC[[#This Row],[CECRIS PIN]],CECPINDATA[CECRIS PIN],CECPINDATA[DISCOUNT RATE])</f>
        <v>Y</v>
      </c>
      <c r="I7" s="94">
        <f>IF(COSTCALC[[#This Row],[Apply Federal Discount Rate]]="Y",COSTCALC[[#This Row],[Total Program Cost]]*$H$4,COSTCALC[[#This Row],[Total Program Cost]])</f>
        <v>0</v>
      </c>
      <c r="J7" s="94">
        <f>COSTCALC[[#This Row],[Total Program Cost]]-COSTCALC[[#This Row],[Federal Cost]]</f>
        <v>0</v>
      </c>
      <c r="K7" s="94">
        <f>IFERROR(_xlfn.XLOOKUP(COSTCALC[[#This Row],[Residual of PIN]],COSTCALC[CECRIS PIN],COSTCALC[Non Fed Cost]),0)</f>
        <v>0</v>
      </c>
      <c r="L7" s="97" t="str">
        <f>_xlfn.XLOOKUP(COSTCALC[[#This Row],[CECRIS PIN]],CECPINDATA[CECRIS PIN],CECPINDATA[Non Fed Residual Of])</f>
        <v/>
      </c>
      <c r="M7" s="96">
        <f>IF(COSTCALC[[#This Row],[CECRIS PIN]]="Prob Only",0,COSTCALC[[#This Row],[Federal Cost]]+COSTCALC[[#This Row],[NonFed Cost Claimed]])</f>
        <v>0</v>
      </c>
    </row>
    <row r="8" spans="1:19" x14ac:dyDescent="0.25">
      <c r="A8" s="20" t="s">
        <v>29</v>
      </c>
      <c r="B8" s="21" t="str">
        <f>_xlfn.XLOOKUP(COSTCALC[[#This Row],[CECRIS PIN]],CECPINDATA[CECRIS PIN],CECPINDATA[Program Name])</f>
        <v>PROB IVE PRE PLACEMENT PREV</v>
      </c>
      <c r="C8" s="93">
        <f>IFERROR(_xlfn.XLOOKUP(COSTCALC[[#This Row],[CECRIS PIN]],TIMESTUDYSUMM[CECRIS PIN],TIMESTUDYSUMM[Allocable Hours %]),0)</f>
        <v>0</v>
      </c>
      <c r="D8" s="94">
        <f>$C$4*COSTCALC[[#This Row],[Allocable Hours (%)]]</f>
        <v>0</v>
      </c>
      <c r="E8" s="94">
        <f>$E$4*COSTCALC[[#This Row],[Payroll Cost]]</f>
        <v>0</v>
      </c>
      <c r="F8" s="94">
        <f>IFERROR(_xlfn.XLOOKUP(COSTCALC[[#This Row],[CECRIS PIN]],COSTSUMM[CECRIS PIN],COSTSUMM[Cost]),0)</f>
        <v>0</v>
      </c>
      <c r="G8" s="98">
        <f>COSTCALC[[#This Row],[Non Payroll Cost]]+COSTCALC[[#This Row],[Indirect Cost]]+COSTCALC[[#This Row],[Payroll Cost]]</f>
        <v>0</v>
      </c>
      <c r="H8" s="97" t="str">
        <f>_xlfn.XLOOKUP(COSTCALC[[#This Row],[CECRIS PIN]],CECPINDATA[CECRIS PIN],CECPINDATA[DISCOUNT RATE])</f>
        <v>Y</v>
      </c>
      <c r="I8" s="94">
        <f>IF(COSTCALC[[#This Row],[Apply Federal Discount Rate]]="Y",COSTCALC[[#This Row],[Total Program Cost]]*$H$4,COSTCALC[[#This Row],[Total Program Cost]])</f>
        <v>0</v>
      </c>
      <c r="J8" s="94">
        <f>COSTCALC[[#This Row],[Total Program Cost]]-COSTCALC[[#This Row],[Federal Cost]]</f>
        <v>0</v>
      </c>
      <c r="K8" s="94">
        <f>IFERROR(_xlfn.XLOOKUP(COSTCALC[[#This Row],[Residual of PIN]],COSTCALC[CECRIS PIN],COSTCALC[Non Fed Cost]),0)</f>
        <v>0</v>
      </c>
      <c r="L8" s="97" t="str">
        <f>_xlfn.XLOOKUP(COSTCALC[[#This Row],[CECRIS PIN]],CECPINDATA[CECRIS PIN],CECPINDATA[Non Fed Residual Of])</f>
        <v/>
      </c>
      <c r="M8" s="96">
        <f>IF(COSTCALC[[#This Row],[CECRIS PIN]]="Prob Only",0,COSTCALC[[#This Row],[Federal Cost]]+COSTCALC[[#This Row],[NonFed Cost Claimed]])</f>
        <v>0</v>
      </c>
    </row>
    <row r="9" spans="1:19" s="56" customFormat="1" x14ac:dyDescent="0.25">
      <c r="A9" s="20" t="s">
        <v>31</v>
      </c>
      <c r="B9" s="21" t="str">
        <f>_xlfn.XLOOKUP(COSTCALC[[#This Row],[CECRIS PIN]],CECPINDATA[CECRIS PIN],CECPINDATA[Program Name])</f>
        <v>PROB IVE TRAINING</v>
      </c>
      <c r="C9" s="93">
        <f>IFERROR(_xlfn.XLOOKUP(COSTCALC[[#This Row],[CECRIS PIN]],TIMESTUDYSUMM[CECRIS PIN],TIMESTUDYSUMM[Allocable Hours %]),0)</f>
        <v>1.8883551432830877E-2</v>
      </c>
      <c r="D9" s="94">
        <f>$C$4*COSTCALC[[#This Row],[Allocable Hours (%)]]</f>
        <v>33990.392579095576</v>
      </c>
      <c r="E9" s="94">
        <f>$E$4*COSTCALC[[#This Row],[Payroll Cost]]</f>
        <v>19859.775228625462</v>
      </c>
      <c r="F9" s="94">
        <f>IFERROR(_xlfn.XLOOKUP(COSTCALC[[#This Row],[CECRIS PIN]],COSTSUMM[CECRIS PIN],COSTSUMM[Cost]),0)</f>
        <v>0</v>
      </c>
      <c r="G9" s="94">
        <f>COSTCALC[[#This Row],[Non Payroll Cost]]+COSTCALC[[#This Row],[Indirect Cost]]+COSTCALC[[#This Row],[Payroll Cost]]</f>
        <v>53850.167807721038</v>
      </c>
      <c r="H9" s="97" t="str">
        <f>_xlfn.XLOOKUP(COSTCALC[[#This Row],[CECRIS PIN]],CECPINDATA[CECRIS PIN],CECPINDATA[DISCOUNT RATE])</f>
        <v>Y</v>
      </c>
      <c r="I9" s="94">
        <f>IF(COSTCALC[[#This Row],[Apply Federal Discount Rate]]="Y",COSTCALC[[#This Row],[Total Program Cost]]*$H$4,COSTCALC[[#This Row],[Total Program Cost]])</f>
        <v>33915.266486645174</v>
      </c>
      <c r="J9" s="94">
        <f>COSTCALC[[#This Row],[Total Program Cost]]-COSTCALC[[#This Row],[Federal Cost]]</f>
        <v>19934.901321075864</v>
      </c>
      <c r="K9" s="94">
        <f>IFERROR(_xlfn.XLOOKUP(COSTCALC[[#This Row],[Residual of PIN]],COSTCALC[CECRIS PIN],COSTCALC[Non Fed Cost]),0)</f>
        <v>0</v>
      </c>
      <c r="L9" s="97" t="str">
        <f>_xlfn.XLOOKUP(COSTCALC[[#This Row],[CECRIS PIN]],CECPINDATA[CECRIS PIN],CECPINDATA[Non Fed Residual Of])</f>
        <v/>
      </c>
      <c r="M9" s="96">
        <f>IF(COSTCALC[[#This Row],[CECRIS PIN]]="Prob Only",0,COSTCALC[[#This Row],[Federal Cost]]+COSTCALC[[#This Row],[NonFed Cost Claimed]])</f>
        <v>33915.266486645174</v>
      </c>
      <c r="N9" s="52"/>
      <c r="O9" s="52"/>
      <c r="P9" s="52"/>
      <c r="Q9" s="52"/>
      <c r="R9" s="52"/>
      <c r="S9" s="52"/>
    </row>
    <row r="10" spans="1:19" x14ac:dyDescent="0.25">
      <c r="A10" s="20" t="s">
        <v>33</v>
      </c>
      <c r="B10" s="21" t="str">
        <f>_xlfn.XLOOKUP(COSTCALC[[#This Row],[CECRIS PIN]],CECPINDATA[CECRIS PIN],CECPINDATA[Program Name])</f>
        <v>PROB FED TRAINING PREVENT SEX TRAFFICKING</v>
      </c>
      <c r="C10" s="93">
        <f>IFERROR(_xlfn.XLOOKUP(COSTCALC[[#This Row],[CECRIS PIN]],TIMESTUDYSUMM[CECRIS PIN],TIMESTUDYSUMM[Allocable Hours %]),0)</f>
        <v>0</v>
      </c>
      <c r="D10" s="94">
        <f>$C$4*COSTCALC[[#This Row],[Allocable Hours (%)]]</f>
        <v>0</v>
      </c>
      <c r="E10" s="94">
        <f>$E$4*COSTCALC[[#This Row],[Payroll Cost]]</f>
        <v>0</v>
      </c>
      <c r="F10" s="94">
        <f>IFERROR(_xlfn.XLOOKUP(COSTCALC[[#This Row],[CECRIS PIN]],COSTSUMM[CECRIS PIN],COSTSUMM[Cost]),0)</f>
        <v>0</v>
      </c>
      <c r="G10" s="94">
        <f>COSTCALC[[#This Row],[Non Payroll Cost]]+COSTCALC[[#This Row],[Indirect Cost]]+COSTCALC[[#This Row],[Payroll Cost]]</f>
        <v>0</v>
      </c>
      <c r="H10" s="97" t="str">
        <f>_xlfn.XLOOKUP(COSTCALC[[#This Row],[CECRIS PIN]],CECPINDATA[CECRIS PIN],CECPINDATA[DISCOUNT RATE])</f>
        <v>N</v>
      </c>
      <c r="I10" s="94">
        <f>IF(COSTCALC[[#This Row],[Apply Federal Discount Rate]]="Y",COSTCALC[[#This Row],[Total Program Cost]]*$H$4,COSTCALC[[#This Row],[Total Program Cost]])</f>
        <v>0</v>
      </c>
      <c r="J10" s="94">
        <f>COSTCALC[[#This Row],[Total Program Cost]]-COSTCALC[[#This Row],[Federal Cost]]</f>
        <v>0</v>
      </c>
      <c r="K10" s="94">
        <f>IFERROR(_xlfn.XLOOKUP(COSTCALC[[#This Row],[Residual of PIN]],COSTCALC[CECRIS PIN],COSTCALC[Non Fed Cost]),0)</f>
        <v>0</v>
      </c>
      <c r="L10" s="97" t="str">
        <f>_xlfn.XLOOKUP(COSTCALC[[#This Row],[CECRIS PIN]],CECPINDATA[CECRIS PIN],CECPINDATA[Non Fed Residual Of])</f>
        <v/>
      </c>
      <c r="M10" s="96">
        <f>IF(COSTCALC[[#This Row],[CECRIS PIN]]="Prob Only",0,COSTCALC[[#This Row],[Federal Cost]]+COSTCALC[[#This Row],[NonFed Cost Claimed]])</f>
        <v>0</v>
      </c>
    </row>
    <row r="11" spans="1:19" x14ac:dyDescent="0.25">
      <c r="A11" s="20" t="s">
        <v>117</v>
      </c>
      <c r="B11" s="21" t="str">
        <f>_xlfn.XLOOKUP(COSTCALC[[#This Row],[CECRIS PIN]],CECPINDATA[CECRIS PIN],CECPINDATA[Program Name])</f>
        <v>PROB HBFC LOCP FED</v>
      </c>
      <c r="C11" s="93">
        <f>IFERROR(_xlfn.XLOOKUP(COSTCALC[[#This Row],[CECRIS PIN]],TIMESTUDYSUMM[CECRIS PIN],TIMESTUDYSUMM[Allocable Hours %]),0)</f>
        <v>0</v>
      </c>
      <c r="D11" s="94">
        <f>$C$4*COSTCALC[[#This Row],[Allocable Hours (%)]]</f>
        <v>0</v>
      </c>
      <c r="E11" s="94">
        <f>$E$4*COSTCALC[[#This Row],[Payroll Cost]]</f>
        <v>0</v>
      </c>
      <c r="F11" s="94">
        <f>IFERROR(_xlfn.XLOOKUP(COSTCALC[[#This Row],[CECRIS PIN]],COSTSUMM[CECRIS PIN],COSTSUMM[Cost]),0)</f>
        <v>0</v>
      </c>
      <c r="G11" s="94">
        <f>COSTCALC[[#This Row],[Non Payroll Cost]]+COSTCALC[[#This Row],[Indirect Cost]]+COSTCALC[[#This Row],[Payroll Cost]]</f>
        <v>0</v>
      </c>
      <c r="H11" s="97" t="str">
        <f>_xlfn.XLOOKUP(COSTCALC[[#This Row],[CECRIS PIN]],CECPINDATA[CECRIS PIN],CECPINDATA[DISCOUNT RATE])</f>
        <v>Y</v>
      </c>
      <c r="I11" s="94">
        <f>IF(COSTCALC[[#This Row],[Apply Federal Discount Rate]]="Y",COSTCALC[[#This Row],[Total Program Cost]]*$H$4,COSTCALC[[#This Row],[Total Program Cost]])</f>
        <v>0</v>
      </c>
      <c r="J11" s="94">
        <f>COSTCALC[[#This Row],[Total Program Cost]]-COSTCALC[[#This Row],[Federal Cost]]</f>
        <v>0</v>
      </c>
      <c r="K11" s="94">
        <f>IFERROR(_xlfn.XLOOKUP(COSTCALC[[#This Row],[Residual of PIN]],COSTCALC[CECRIS PIN],COSTCALC[Non Fed Cost]),0)</f>
        <v>0</v>
      </c>
      <c r="L11" s="97" t="str">
        <f>_xlfn.XLOOKUP(COSTCALC[[#This Row],[CECRIS PIN]],CECPINDATA[CECRIS PIN],CECPINDATA[Non Fed Residual Of])</f>
        <v/>
      </c>
      <c r="M11" s="96">
        <f>IF(COSTCALC[[#This Row],[CECRIS PIN]]="Prob Only",0,COSTCALC[[#This Row],[Federal Cost]]+COSTCALC[[#This Row],[NonFed Cost Claimed]])</f>
        <v>0</v>
      </c>
    </row>
    <row r="12" spans="1:19" x14ac:dyDescent="0.25">
      <c r="A12" s="20" t="s">
        <v>119</v>
      </c>
      <c r="B12" s="21" t="str">
        <f>_xlfn.XLOOKUP(COSTCALC[[#This Row],[CECRIS PIN]],CECPINDATA[CECRIS PIN],CECPINDATA[Program Name])</f>
        <v>PROB HBFC LOCP NON FED</v>
      </c>
      <c r="C12" s="93">
        <f>IFERROR(_xlfn.XLOOKUP(COSTCALC[[#This Row],[CECRIS PIN]],TIMESTUDYSUMM[CECRIS PIN],TIMESTUDYSUMM[Allocable Hours %]),0)</f>
        <v>0</v>
      </c>
      <c r="D12" s="94">
        <f>$C$4*COSTCALC[[#This Row],[Allocable Hours (%)]]</f>
        <v>0</v>
      </c>
      <c r="E12" s="94">
        <f>$E$4*COSTCALC[[#This Row],[Payroll Cost]]</f>
        <v>0</v>
      </c>
      <c r="F12" s="94">
        <f>IFERROR(_xlfn.XLOOKUP(COSTCALC[[#This Row],[CECRIS PIN]],COSTSUMM[CECRIS PIN],COSTSUMM[Cost]),0)</f>
        <v>0</v>
      </c>
      <c r="G12" s="94">
        <f>COSTCALC[[#This Row],[Non Payroll Cost]]+COSTCALC[[#This Row],[Indirect Cost]]+COSTCALC[[#This Row],[Payroll Cost]]</f>
        <v>0</v>
      </c>
      <c r="H12" s="97" t="str">
        <f>_xlfn.XLOOKUP(COSTCALC[[#This Row],[CECRIS PIN]],CECPINDATA[CECRIS PIN],CECPINDATA[DISCOUNT RATE])</f>
        <v>N</v>
      </c>
      <c r="I12" s="94">
        <f>IF(COSTCALC[[#This Row],[Apply Federal Discount Rate]]="Y",COSTCALC[[#This Row],[Total Program Cost]]*$H$4,COSTCALC[[#This Row],[Total Program Cost]])</f>
        <v>0</v>
      </c>
      <c r="J12" s="94">
        <f>COSTCALC[[#This Row],[Total Program Cost]]-COSTCALC[[#This Row],[Federal Cost]]</f>
        <v>0</v>
      </c>
      <c r="K12" s="94">
        <f>IFERROR(_xlfn.XLOOKUP(COSTCALC[[#This Row],[Residual of PIN]],COSTCALC[CECRIS PIN],COSTCALC[Non Fed Cost]),0)</f>
        <v>0</v>
      </c>
      <c r="L12" s="97" t="str">
        <f>_xlfn.XLOOKUP(COSTCALC[[#This Row],[CECRIS PIN]],CECPINDATA[CECRIS PIN],CECPINDATA[Non Fed Residual Of])</f>
        <v/>
      </c>
      <c r="M12" s="96">
        <f>IF(COSTCALC[[#This Row],[CECRIS PIN]]="Prob Only",0,COSTCALC[[#This Row],[Federal Cost]]+COSTCALC[[#This Row],[NonFed Cost Claimed]])</f>
        <v>0</v>
      </c>
    </row>
    <row r="13" spans="1:19" x14ac:dyDescent="0.25">
      <c r="A13" s="20" t="s">
        <v>35</v>
      </c>
      <c r="B13" s="21" t="str">
        <f>_xlfn.XLOOKUP(COSTCALC[[#This Row],[CECRIS PIN]],CECPINDATA[CECRIS PIN],CECPINDATA[Program Name])</f>
        <v>PROB MONTHLY VISITS/GROUP HOMES</v>
      </c>
      <c r="C13" s="93">
        <f>IFERROR(_xlfn.XLOOKUP(COSTCALC[[#This Row],[CECRIS PIN]],TIMESTUDYSUMM[CECRIS PIN],TIMESTUDYSUMM[Allocable Hours %]),0)</f>
        <v>4.3067748881894984E-2</v>
      </c>
      <c r="D13" s="94">
        <f>$C$4*COSTCALC[[#This Row],[Allocable Hours (%)]]</f>
        <v>77521.947987410967</v>
      </c>
      <c r="E13" s="94">
        <f>$E$4*COSTCALC[[#This Row],[Payroll Cost]]</f>
        <v>45294.224205637016</v>
      </c>
      <c r="F13" s="94">
        <f>IFERROR(_xlfn.XLOOKUP(COSTCALC[[#This Row],[CECRIS PIN]],COSTSUMM[CECRIS PIN],COSTSUMM[Cost]),0)</f>
        <v>4600</v>
      </c>
      <c r="G13" s="94">
        <f>COSTCALC[[#This Row],[Non Payroll Cost]]+COSTCALC[[#This Row],[Indirect Cost]]+COSTCALC[[#This Row],[Payroll Cost]]</f>
        <v>127416.17219304798</v>
      </c>
      <c r="H13" s="97" t="str">
        <f>_xlfn.XLOOKUP(COSTCALC[[#This Row],[CECRIS PIN]],CECPINDATA[CECRIS PIN],CECPINDATA[DISCOUNT RATE])</f>
        <v>Y</v>
      </c>
      <c r="I13" s="94">
        <f>IF(COSTCALC[[#This Row],[Apply Federal Discount Rate]]="Y",COSTCALC[[#This Row],[Total Program Cost]]*$H$4,COSTCALC[[#This Row],[Total Program Cost]])</f>
        <v>80247.724576559165</v>
      </c>
      <c r="J13" s="94">
        <f>COSTCALC[[#This Row],[Total Program Cost]]-COSTCALC[[#This Row],[Federal Cost]]</f>
        <v>47168.447616488818</v>
      </c>
      <c r="K13" s="94">
        <f>IFERROR(_xlfn.XLOOKUP(COSTCALC[[#This Row],[Residual of PIN]],COSTCALC[CECRIS PIN],COSTCALC[Non Fed Cost]),0)</f>
        <v>0</v>
      </c>
      <c r="L13" s="97" t="str">
        <f>_xlfn.XLOOKUP(COSTCALC[[#This Row],[CECRIS PIN]],CECPINDATA[CECRIS PIN],CECPINDATA[Non Fed Residual Of])</f>
        <v/>
      </c>
      <c r="M13" s="96">
        <f>IF(COSTCALC[[#This Row],[CECRIS PIN]]="Prob Only",0,COSTCALC[[#This Row],[Federal Cost]]+COSTCALC[[#This Row],[NonFed Cost Claimed]])</f>
        <v>80247.724576559165</v>
      </c>
    </row>
    <row r="14" spans="1:19" ht="15" customHeight="1" x14ac:dyDescent="0.25">
      <c r="A14" s="20" t="s">
        <v>37</v>
      </c>
      <c r="B14" s="21" t="str">
        <f>_xlfn.XLOOKUP(COSTCALC[[#This Row],[CECRIS PIN]],CECPINDATA[CECRIS PIN],CECPINDATA[Program Name])</f>
        <v>PROB MONTHLY VISITS/GROUP HOMES NON FED</v>
      </c>
      <c r="C14" s="93">
        <f>IFERROR(_xlfn.XLOOKUP(COSTCALC[[#This Row],[CECRIS PIN]],TIMESTUDYSUMM[CECRIS PIN],TIMESTUDYSUMM[Allocable Hours %]),0)</f>
        <v>0</v>
      </c>
      <c r="D14" s="94">
        <f>$C$4*COSTCALC[[#This Row],[Allocable Hours (%)]]</f>
        <v>0</v>
      </c>
      <c r="E14" s="94">
        <f>$E$4*COSTCALC[[#This Row],[Payroll Cost]]</f>
        <v>0</v>
      </c>
      <c r="F14" s="94">
        <f>IFERROR(_xlfn.XLOOKUP(COSTCALC[[#This Row],[CECRIS PIN]],COSTSUMM[CECRIS PIN],COSTSUMM[Cost]),0)</f>
        <v>0</v>
      </c>
      <c r="G14" s="94">
        <f>COSTCALC[[#This Row],[Non Payroll Cost]]+COSTCALC[[#This Row],[Indirect Cost]]+COSTCALC[[#This Row],[Payroll Cost]]</f>
        <v>0</v>
      </c>
      <c r="H14" s="97" t="str">
        <f>_xlfn.XLOOKUP(COSTCALC[[#This Row],[CECRIS PIN]],CECPINDATA[CECRIS PIN],CECPINDATA[DISCOUNT RATE])</f>
        <v>N</v>
      </c>
      <c r="I14" s="94">
        <f>IF(COSTCALC[[#This Row],[Apply Federal Discount Rate]]="Y",COSTCALC[[#This Row],[Total Program Cost]]*$H$4,COSTCALC[[#This Row],[Total Program Cost]])</f>
        <v>0</v>
      </c>
      <c r="J14" s="94">
        <f>COSTCALC[[#This Row],[Total Program Cost]]-COSTCALC[[#This Row],[Federal Cost]]</f>
        <v>0</v>
      </c>
      <c r="K14" s="94">
        <f>IFERROR(_xlfn.XLOOKUP(COSTCALC[[#This Row],[Residual of PIN]],COSTCALC[CECRIS PIN],COSTCALC[Non Fed Cost]),0)</f>
        <v>47168.447616488818</v>
      </c>
      <c r="L14" s="97" t="str">
        <f>_xlfn.XLOOKUP(COSTCALC[[#This Row],[CECRIS PIN]],CECPINDATA[CECRIS PIN],CECPINDATA[Non Fed Residual Of])</f>
        <v>05790059</v>
      </c>
      <c r="M14" s="96">
        <f>IF(COSTCALC[[#This Row],[CECRIS PIN]]="Prob Only",0,COSTCALC[[#This Row],[Federal Cost]]+COSTCALC[[#This Row],[NonFed Cost Claimed]])</f>
        <v>47168.447616488818</v>
      </c>
    </row>
    <row r="15" spans="1:19" ht="15" customHeight="1" x14ac:dyDescent="0.25">
      <c r="A15" s="20" t="s">
        <v>39</v>
      </c>
      <c r="B15" s="21" t="str">
        <f>_xlfn.XLOOKUP(COSTCALC[[#This Row],[CECRIS PIN]],CECPINDATA[CECRIS PIN],CECPINDATA[Program Name])</f>
        <v>PROB EFC NON FED GHMV</v>
      </c>
      <c r="C15" s="93">
        <f>IFERROR(_xlfn.XLOOKUP(COSTCALC[[#This Row],[CECRIS PIN]],TIMESTUDYSUMM[CECRIS PIN],TIMESTUDYSUMM[Allocable Hours %]),0)</f>
        <v>0</v>
      </c>
      <c r="D15" s="94">
        <f>$C$4*COSTCALC[[#This Row],[Allocable Hours (%)]]</f>
        <v>0</v>
      </c>
      <c r="E15" s="94">
        <f>$E$4*COSTCALC[[#This Row],[Payroll Cost]]</f>
        <v>0</v>
      </c>
      <c r="F15" s="94">
        <f>IFERROR(_xlfn.XLOOKUP(COSTCALC[[#This Row],[CECRIS PIN]],COSTSUMM[CECRIS PIN],COSTSUMM[Cost]),0)</f>
        <v>0</v>
      </c>
      <c r="G15" s="94">
        <f>COSTCALC[[#This Row],[Non Payroll Cost]]+COSTCALC[[#This Row],[Indirect Cost]]+COSTCALC[[#This Row],[Payroll Cost]]</f>
        <v>0</v>
      </c>
      <c r="H15" s="97" t="str">
        <f>_xlfn.XLOOKUP(COSTCALC[[#This Row],[CECRIS PIN]],CECPINDATA[CECRIS PIN],CECPINDATA[DISCOUNT RATE])</f>
        <v>N</v>
      </c>
      <c r="I15" s="94">
        <f>IF(COSTCALC[[#This Row],[Apply Federal Discount Rate]]="Y",COSTCALC[[#This Row],[Total Program Cost]]*$H$4,COSTCALC[[#This Row],[Total Program Cost]])</f>
        <v>0</v>
      </c>
      <c r="J15" s="94">
        <f>COSTCALC[[#This Row],[Total Program Cost]]-COSTCALC[[#This Row],[Federal Cost]]</f>
        <v>0</v>
      </c>
      <c r="K15" s="94">
        <f>IFERROR(_xlfn.XLOOKUP(COSTCALC[[#This Row],[Residual of PIN]],COSTCALC[CECRIS PIN],COSTCALC[Non Fed Cost]),0)</f>
        <v>45238.570640216334</v>
      </c>
      <c r="L15" s="97" t="str">
        <f>_xlfn.XLOOKUP(COSTCALC[[#This Row],[CECRIS PIN]],CECPINDATA[CECRIS PIN],CECPINDATA[Non Fed Residual Of])</f>
        <v>08440059</v>
      </c>
      <c r="M15" s="96">
        <f>IF(COSTCALC[[#This Row],[CECRIS PIN]]="Prob Only",0,COSTCALC[[#This Row],[Federal Cost]]+COSTCALC[[#This Row],[NonFed Cost Claimed]])</f>
        <v>45238.570640216334</v>
      </c>
    </row>
    <row r="16" spans="1:19" x14ac:dyDescent="0.25">
      <c r="A16" s="20" t="s">
        <v>3</v>
      </c>
      <c r="B16" s="21" t="str">
        <f>_xlfn.XLOOKUP(COSTCALC[[#This Row],[CECRIS PIN]],CECPINDATA[CECRIS PIN],CECPINDATA[Program Name])</f>
        <v>PROB WRAPAROUND AFTERCARE SERVICES</v>
      </c>
      <c r="C16" s="93">
        <f>IFERROR(_xlfn.XLOOKUP(COSTCALC[[#This Row],[CECRIS PIN]],TIMESTUDYSUMM[CECRIS PIN],TIMESTUDYSUMM[Allocable Hours %]),0)</f>
        <v>1.6067583236706973E-2</v>
      </c>
      <c r="D16" s="94">
        <f>$C$4*COSTCALC[[#This Row],[Allocable Hours (%)]]</f>
        <v>28921.649826072553</v>
      </c>
      <c r="E16" s="94">
        <f>$E$4*COSTCALC[[#This Row],[Payroll Cost]]</f>
        <v>16898.22979979535</v>
      </c>
      <c r="F16" s="94">
        <f>IFERROR(_xlfn.XLOOKUP(COSTCALC[[#This Row],[CECRIS PIN]],COSTSUMM[CECRIS PIN],COSTSUMM[Cost]),0)</f>
        <v>0</v>
      </c>
      <c r="G16" s="94">
        <f>COSTCALC[[#This Row],[Non Payroll Cost]]+COSTCALC[[#This Row],[Indirect Cost]]+COSTCALC[[#This Row],[Payroll Cost]]</f>
        <v>45819.879625867907</v>
      </c>
      <c r="H16" s="97" t="str">
        <f>_xlfn.XLOOKUP(COSTCALC[[#This Row],[CECRIS PIN]],CECPINDATA[CECRIS PIN],CECPINDATA[DISCOUNT RATE])</f>
        <v>N</v>
      </c>
      <c r="I16" s="94">
        <f>IF(COSTCALC[[#This Row],[Apply Federal Discount Rate]]="Y",COSTCALC[[#This Row],[Total Program Cost]]*$H$4,COSTCALC[[#This Row],[Total Program Cost]])</f>
        <v>45819.879625867907</v>
      </c>
      <c r="J16" s="94">
        <f>COSTCALC[[#This Row],[Total Program Cost]]-COSTCALC[[#This Row],[Federal Cost]]</f>
        <v>0</v>
      </c>
      <c r="K16" s="94">
        <f>IFERROR(_xlfn.XLOOKUP(COSTCALC[[#This Row],[Residual of PIN]],COSTCALC[CECRIS PIN],COSTCALC[Non Fed Cost]),0)</f>
        <v>0</v>
      </c>
      <c r="L16" s="97" t="str">
        <f>_xlfn.XLOOKUP(COSTCALC[[#This Row],[CECRIS PIN]],CECPINDATA[CECRIS PIN],CECPINDATA[Non Fed Residual Of])</f>
        <v/>
      </c>
      <c r="M16" s="96">
        <f>IF(COSTCALC[[#This Row],[CECRIS PIN]]="Prob Only",0,COSTCALC[[#This Row],[Federal Cost]]+COSTCALC[[#This Row],[NonFed Cost Claimed]])</f>
        <v>45819.879625867907</v>
      </c>
    </row>
    <row r="17" spans="1:19" x14ac:dyDescent="0.25">
      <c r="A17" s="20" t="s">
        <v>41</v>
      </c>
      <c r="B17" s="21" t="str">
        <f>_xlfn.XLOOKUP(COSTCALC[[#This Row],[CECRIS PIN]],CECPINDATA[CECRIS PIN],CECPINDATA[Program Name])</f>
        <v>PROB EFC GH MO VISITS</v>
      </c>
      <c r="C17" s="93">
        <f>IFERROR(_xlfn.XLOOKUP(COSTCALC[[#This Row],[CECRIS PIN]],TIMESTUDYSUMM[CECRIS PIN],TIMESTUDYSUMM[Allocable Hours %]),0)</f>
        <v>4.0748716249792941E-2</v>
      </c>
      <c r="D17" s="94">
        <f>$C$4*COSTCALC[[#This Row],[Allocable Hours (%)]]</f>
        <v>73347.689249627292</v>
      </c>
      <c r="E17" s="94">
        <f>$E$4*COSTCALC[[#This Row],[Payroll Cost]]</f>
        <v>42855.304440718093</v>
      </c>
      <c r="F17" s="94">
        <f>IFERROR(_xlfn.XLOOKUP(COSTCALC[[#This Row],[CECRIS PIN]],COSTSUMM[CECRIS PIN],COSTSUMM[Cost]),0)</f>
        <v>6000</v>
      </c>
      <c r="G17" s="94">
        <f>COSTCALC[[#This Row],[Non Payroll Cost]]+COSTCALC[[#This Row],[Indirect Cost]]+COSTCALC[[#This Row],[Payroll Cost]]</f>
        <v>122202.99369034538</v>
      </c>
      <c r="H17" s="97" t="str">
        <f>_xlfn.XLOOKUP(COSTCALC[[#This Row],[CECRIS PIN]],CECPINDATA[CECRIS PIN],CECPINDATA[DISCOUNT RATE])</f>
        <v>Y</v>
      </c>
      <c r="I17" s="94">
        <f>IF(COSTCALC[[#This Row],[Apply Federal Discount Rate]]="Y",COSTCALC[[#This Row],[Total Program Cost]]*$H$4,COSTCALC[[#This Row],[Total Program Cost]])</f>
        <v>76964.423050129044</v>
      </c>
      <c r="J17" s="94">
        <f>COSTCALC[[#This Row],[Total Program Cost]]-COSTCALC[[#This Row],[Federal Cost]]</f>
        <v>45238.570640216334</v>
      </c>
      <c r="K17" s="94">
        <f>IFERROR(_xlfn.XLOOKUP(COSTCALC[[#This Row],[Residual of PIN]],COSTCALC[CECRIS PIN],COSTCALC[Non Fed Cost]),0)</f>
        <v>0</v>
      </c>
      <c r="L17" s="97" t="str">
        <f>_xlfn.XLOOKUP(COSTCALC[[#This Row],[CECRIS PIN]],CECPINDATA[CECRIS PIN],CECPINDATA[Non Fed Residual Of])</f>
        <v/>
      </c>
      <c r="M17" s="96">
        <f>IF(COSTCALC[[#This Row],[CECRIS PIN]]="Prob Only",0,COSTCALC[[#This Row],[Federal Cost]]+COSTCALC[[#This Row],[NonFed Cost Claimed]])</f>
        <v>76964.423050129044</v>
      </c>
    </row>
    <row r="18" spans="1:19" x14ac:dyDescent="0.25">
      <c r="A18" s="20" t="s">
        <v>121</v>
      </c>
      <c r="B18" s="21" t="str">
        <f>_xlfn.XLOOKUP(COSTCALC[[#This Row],[CECRIS PIN]],CECPINDATA[CECRIS PIN],CECPINDATA[Program Name])</f>
        <v>PROB EFC PUBLIC AGENCY IVE PASS THROUGH</v>
      </c>
      <c r="C18" s="93">
        <f>IFERROR(_xlfn.XLOOKUP(COSTCALC[[#This Row],[CECRIS PIN]],TIMESTUDYSUMM[CECRIS PIN],TIMESTUDYSUMM[Allocable Hours %]),0)</f>
        <v>0</v>
      </c>
      <c r="D18" s="94">
        <f>$C$4*COSTCALC[[#This Row],[Allocable Hours (%)]]</f>
        <v>0</v>
      </c>
      <c r="E18" s="94">
        <f>$E$4*COSTCALC[[#This Row],[Payroll Cost]]</f>
        <v>0</v>
      </c>
      <c r="F18" s="94">
        <f>IFERROR(_xlfn.XLOOKUP(COSTCALC[[#This Row],[CECRIS PIN]],COSTSUMM[CECRIS PIN],COSTSUMM[Cost]),0)</f>
        <v>0</v>
      </c>
      <c r="G18" s="94">
        <f>COSTCALC[[#This Row],[Non Payroll Cost]]+COSTCALC[[#This Row],[Indirect Cost]]+COSTCALC[[#This Row],[Payroll Cost]]</f>
        <v>0</v>
      </c>
      <c r="H18" s="97" t="str">
        <f>_xlfn.XLOOKUP(COSTCALC[[#This Row],[CECRIS PIN]],CECPINDATA[CECRIS PIN],CECPINDATA[DISCOUNT RATE])</f>
        <v>Y</v>
      </c>
      <c r="I18" s="94">
        <f>IF(COSTCALC[[#This Row],[Apply Federal Discount Rate]]="Y",COSTCALC[[#This Row],[Total Program Cost]]*$H$4,COSTCALC[[#This Row],[Total Program Cost]])</f>
        <v>0</v>
      </c>
      <c r="J18" s="94">
        <f>COSTCALC[[#This Row],[Total Program Cost]]-COSTCALC[[#This Row],[Federal Cost]]</f>
        <v>0</v>
      </c>
      <c r="K18" s="94">
        <f>IFERROR(_xlfn.XLOOKUP(COSTCALC[[#This Row],[Residual of PIN]],COSTCALC[CECRIS PIN],COSTCALC[Non Fed Cost]),0)</f>
        <v>0</v>
      </c>
      <c r="L18" s="97" t="str">
        <f>_xlfn.XLOOKUP(COSTCALC[[#This Row],[CECRIS PIN]],CECPINDATA[CECRIS PIN],CECPINDATA[Non Fed Residual Of])</f>
        <v/>
      </c>
      <c r="M18" s="96">
        <f>IF(COSTCALC[[#This Row],[CECRIS PIN]]="Prob Only",0,COSTCALC[[#This Row],[Federal Cost]]+COSTCALC[[#This Row],[NonFed Cost Claimed]])</f>
        <v>0</v>
      </c>
    </row>
    <row r="19" spans="1:19" x14ac:dyDescent="0.25">
      <c r="A19" s="20" t="s">
        <v>43</v>
      </c>
      <c r="B19" s="21" t="str">
        <f>_xlfn.XLOOKUP(COSTCALC[[#This Row],[CECRIS PIN]],CECPINDATA[CECRIS PIN],CECPINDATA[Program Name])</f>
        <v>PROB EFC CASE MANAGEMENT</v>
      </c>
      <c r="C19" s="93">
        <f>IFERROR(_xlfn.XLOOKUP(COSTCALC[[#This Row],[CECRIS PIN]],TIMESTUDYSUMM[CECRIS PIN],TIMESTUDYSUMM[Allocable Hours %]),0)</f>
        <v>0</v>
      </c>
      <c r="D19" s="94">
        <f>$C$4*COSTCALC[[#This Row],[Allocable Hours (%)]]</f>
        <v>0</v>
      </c>
      <c r="E19" s="94">
        <f>$E$4*COSTCALC[[#This Row],[Payroll Cost]]</f>
        <v>0</v>
      </c>
      <c r="F19" s="94">
        <f>IFERROR(_xlfn.XLOOKUP(COSTCALC[[#This Row],[CECRIS PIN]],COSTSUMM[CECRIS PIN],COSTSUMM[Cost]),0)</f>
        <v>0</v>
      </c>
      <c r="G19" s="94">
        <f>COSTCALC[[#This Row],[Non Payroll Cost]]+COSTCALC[[#This Row],[Indirect Cost]]+COSTCALC[[#This Row],[Payroll Cost]]</f>
        <v>0</v>
      </c>
      <c r="H19" s="97" t="str">
        <f>_xlfn.XLOOKUP(COSTCALC[[#This Row],[CECRIS PIN]],CECPINDATA[CECRIS PIN],CECPINDATA[DISCOUNT RATE])</f>
        <v>Y</v>
      </c>
      <c r="I19" s="94">
        <f>IF(COSTCALC[[#This Row],[Apply Federal Discount Rate]]="Y",COSTCALC[[#This Row],[Total Program Cost]]*$H$4,COSTCALC[[#This Row],[Total Program Cost]])</f>
        <v>0</v>
      </c>
      <c r="J19" s="94">
        <f>COSTCALC[[#This Row],[Total Program Cost]]-COSTCALC[[#This Row],[Federal Cost]]</f>
        <v>0</v>
      </c>
      <c r="K19" s="94">
        <f>IFERROR(_xlfn.XLOOKUP(COSTCALC[[#This Row],[Residual of PIN]],COSTCALC[CECRIS PIN],COSTCALC[Non Fed Cost]),0)</f>
        <v>0</v>
      </c>
      <c r="L19" s="97" t="str">
        <f>_xlfn.XLOOKUP(COSTCALC[[#This Row],[CECRIS PIN]],CECPINDATA[CECRIS PIN],CECPINDATA[Non Fed Residual Of])</f>
        <v/>
      </c>
      <c r="M19" s="96">
        <f>IF(COSTCALC[[#This Row],[CECRIS PIN]]="Prob Only",0,COSTCALC[[#This Row],[Federal Cost]]+COSTCALC[[#This Row],[NonFed Cost Claimed]])</f>
        <v>0</v>
      </c>
    </row>
    <row r="20" spans="1:19" x14ac:dyDescent="0.25">
      <c r="A20" s="20" t="s">
        <v>45</v>
      </c>
      <c r="B20" s="21" t="str">
        <f>_xlfn.XLOOKUP(COSTCALC[[#This Row],[CECRIS PIN]],CECPINDATA[CECRIS PIN],CECPINDATA[Program Name])</f>
        <v>PROB EFC IVE TRAINING</v>
      </c>
      <c r="C20" s="93">
        <f>IFERROR(_xlfn.XLOOKUP(COSTCALC[[#This Row],[CECRIS PIN]],TIMESTUDYSUMM[CECRIS PIN],TIMESTUDYSUMM[Allocable Hours %]),0)</f>
        <v>0</v>
      </c>
      <c r="D20" s="94">
        <f>$C$4*COSTCALC[[#This Row],[Allocable Hours (%)]]</f>
        <v>0</v>
      </c>
      <c r="E20" s="94">
        <f>$E$4*COSTCALC[[#This Row],[Payroll Cost]]</f>
        <v>0</v>
      </c>
      <c r="F20" s="94">
        <f>IFERROR(_xlfn.XLOOKUP(COSTCALC[[#This Row],[CECRIS PIN]],COSTSUMM[CECRIS PIN],COSTSUMM[Cost]),0)</f>
        <v>0</v>
      </c>
      <c r="G20" s="94">
        <f>COSTCALC[[#This Row],[Non Payroll Cost]]+COSTCALC[[#This Row],[Indirect Cost]]+COSTCALC[[#This Row],[Payroll Cost]]</f>
        <v>0</v>
      </c>
      <c r="H20" s="97" t="str">
        <f>_xlfn.XLOOKUP(COSTCALC[[#This Row],[CECRIS PIN]],CECPINDATA[CECRIS PIN],CECPINDATA[DISCOUNT RATE])</f>
        <v>Y</v>
      </c>
      <c r="I20" s="94">
        <f>IF(COSTCALC[[#This Row],[Apply Federal Discount Rate]]="Y",COSTCALC[[#This Row],[Total Program Cost]]*$H$4,COSTCALC[[#This Row],[Total Program Cost]])</f>
        <v>0</v>
      </c>
      <c r="J20" s="94">
        <f>COSTCALC[[#This Row],[Total Program Cost]]-COSTCALC[[#This Row],[Federal Cost]]</f>
        <v>0</v>
      </c>
      <c r="K20" s="94">
        <f>IFERROR(_xlfn.XLOOKUP(COSTCALC[[#This Row],[Residual of PIN]],COSTCALC[CECRIS PIN],COSTCALC[Non Fed Cost]),0)</f>
        <v>0</v>
      </c>
      <c r="L20" s="97" t="str">
        <f>_xlfn.XLOOKUP(COSTCALC[[#This Row],[CECRIS PIN]],CECPINDATA[CECRIS PIN],CECPINDATA[Non Fed Residual Of])</f>
        <v/>
      </c>
      <c r="M20" s="96">
        <f>IF(COSTCALC[[#This Row],[CECRIS PIN]]="Prob Only",0,COSTCALC[[#This Row],[Federal Cost]]+COSTCALC[[#This Row],[NonFed Cost Claimed]])</f>
        <v>0</v>
      </c>
    </row>
    <row r="21" spans="1:19" s="56" customFormat="1" x14ac:dyDescent="0.25">
      <c r="A21" s="20" t="s">
        <v>123</v>
      </c>
      <c r="B21" s="21" t="str">
        <f>_xlfn.XLOOKUP(COSTCALC[[#This Row],[CECRIS PIN]],CECPINDATA[CECRIS PIN],CECPINDATA[Program Name])</f>
        <v>PROB EFC PROB IVE TRAINING ADMIN</v>
      </c>
      <c r="C21" s="93">
        <f>IFERROR(_xlfn.XLOOKUP(COSTCALC[[#This Row],[CECRIS PIN]],TIMESTUDYSUMM[CECRIS PIN],TIMESTUDYSUMM[Allocable Hours %]),0)</f>
        <v>0</v>
      </c>
      <c r="D21" s="94">
        <f>$C$4*COSTCALC[[#This Row],[Allocable Hours (%)]]</f>
        <v>0</v>
      </c>
      <c r="E21" s="94">
        <f>$E$4*COSTCALC[[#This Row],[Payroll Cost]]</f>
        <v>0</v>
      </c>
      <c r="F21" s="94">
        <f>IFERROR(_xlfn.XLOOKUP(COSTCALC[[#This Row],[CECRIS PIN]],COSTSUMM[CECRIS PIN],COSTSUMM[Cost]),0)</f>
        <v>0</v>
      </c>
      <c r="G21" s="94">
        <f>COSTCALC[[#This Row],[Non Payroll Cost]]+COSTCALC[[#This Row],[Indirect Cost]]+COSTCALC[[#This Row],[Payroll Cost]]</f>
        <v>0</v>
      </c>
      <c r="H21" s="97" t="str">
        <f>_xlfn.XLOOKUP(COSTCALC[[#This Row],[CECRIS PIN]],CECPINDATA[CECRIS PIN],CECPINDATA[DISCOUNT RATE])</f>
        <v>Y</v>
      </c>
      <c r="I21" s="94">
        <f>IF(COSTCALC[[#This Row],[Apply Federal Discount Rate]]="Y",COSTCALC[[#This Row],[Total Program Cost]]*$H$4,COSTCALC[[#This Row],[Total Program Cost]])</f>
        <v>0</v>
      </c>
      <c r="J21" s="94">
        <f>COSTCALC[[#This Row],[Total Program Cost]]-COSTCALC[[#This Row],[Federal Cost]]</f>
        <v>0</v>
      </c>
      <c r="K21" s="94">
        <f>IFERROR(_xlfn.XLOOKUP(COSTCALC[[#This Row],[Residual of PIN]],COSTCALC[CECRIS PIN],COSTCALC[Non Fed Cost]),0)</f>
        <v>0</v>
      </c>
      <c r="L21" s="97" t="str">
        <f>_xlfn.XLOOKUP(COSTCALC[[#This Row],[CECRIS PIN]],CECPINDATA[CECRIS PIN],CECPINDATA[Non Fed Residual Of])</f>
        <v/>
      </c>
      <c r="M21" s="96">
        <f>IF(COSTCALC[[#This Row],[CECRIS PIN]]="Prob Only",0,COSTCALC[[#This Row],[Federal Cost]]+COSTCALC[[#This Row],[NonFed Cost Claimed]])</f>
        <v>0</v>
      </c>
      <c r="N21" s="52"/>
      <c r="O21" s="52"/>
      <c r="P21" s="52"/>
      <c r="Q21" s="52"/>
      <c r="R21" s="52"/>
      <c r="S21" s="52"/>
    </row>
    <row r="22" spans="1:19" s="56" customFormat="1" x14ac:dyDescent="0.25">
      <c r="A22" s="20" t="s">
        <v>7</v>
      </c>
      <c r="B22" s="21" t="str">
        <f>_xlfn.XLOOKUP(COSTCALC[[#This Row],[CECRIS PIN]],CECPINDATA[CECRIS PIN],CECPINDATA[Program Name])</f>
        <v>PROB ADMINISTRATIVE QI SUPPORT UNDER 18 FED</v>
      </c>
      <c r="C22" s="93">
        <f>IFERROR(_xlfn.XLOOKUP(COSTCALC[[#This Row],[CECRIS PIN]],TIMESTUDYSUMM[CECRIS PIN],TIMESTUDYSUMM[Allocable Hours %]),0)</f>
        <v>0</v>
      </c>
      <c r="D22" s="94">
        <f>$C$4*COSTCALC[[#This Row],[Allocable Hours (%)]]</f>
        <v>0</v>
      </c>
      <c r="E22" s="94">
        <f>$E$4*COSTCALC[[#This Row],[Payroll Cost]]</f>
        <v>0</v>
      </c>
      <c r="F22" s="94">
        <f>IFERROR(_xlfn.XLOOKUP(COSTCALC[[#This Row],[CECRIS PIN]],COSTSUMM[CECRIS PIN],COSTSUMM[Cost]),0)</f>
        <v>0</v>
      </c>
      <c r="G22" s="94">
        <f>COSTCALC[[#This Row],[Non Payroll Cost]]+COSTCALC[[#This Row],[Indirect Cost]]+COSTCALC[[#This Row],[Payroll Cost]]</f>
        <v>0</v>
      </c>
      <c r="H22" s="97" t="str">
        <f>_xlfn.XLOOKUP(COSTCALC[[#This Row],[CECRIS PIN]],CECPINDATA[CECRIS PIN],CECPINDATA[DISCOUNT RATE])</f>
        <v>Y</v>
      </c>
      <c r="I22" s="94">
        <f>IF(COSTCALC[[#This Row],[Apply Federal Discount Rate]]="Y",COSTCALC[[#This Row],[Total Program Cost]]*$H$4,COSTCALC[[#This Row],[Total Program Cost]])</f>
        <v>0</v>
      </c>
      <c r="J22" s="94">
        <f>COSTCALC[[#This Row],[Total Program Cost]]-COSTCALC[[#This Row],[Federal Cost]]</f>
        <v>0</v>
      </c>
      <c r="K22" s="94">
        <f>IFERROR(_xlfn.XLOOKUP(COSTCALC[[#This Row],[Residual of PIN]],COSTCALC[CECRIS PIN],COSTCALC[Non Fed Cost]),0)</f>
        <v>0</v>
      </c>
      <c r="L22" s="97" t="str">
        <f>_xlfn.XLOOKUP(COSTCALC[[#This Row],[CECRIS PIN]],CECPINDATA[CECRIS PIN],CECPINDATA[Non Fed Residual Of])</f>
        <v/>
      </c>
      <c r="M22" s="96">
        <f>IF(COSTCALC[[#This Row],[CECRIS PIN]]="Prob Only",0,COSTCALC[[#This Row],[Federal Cost]]+COSTCALC[[#This Row],[NonFed Cost Claimed]])</f>
        <v>0</v>
      </c>
      <c r="N22" s="52"/>
      <c r="O22" s="52"/>
      <c r="P22" s="52"/>
      <c r="Q22" s="52"/>
      <c r="R22" s="52"/>
      <c r="S22" s="52"/>
    </row>
    <row r="23" spans="1:19" s="56" customFormat="1" x14ac:dyDescent="0.25">
      <c r="A23" s="20" t="s">
        <v>10</v>
      </c>
      <c r="B23" s="21" t="str">
        <f>_xlfn.XLOOKUP(COSTCALC[[#This Row],[CECRIS PIN]],CECPINDATA[CECRIS PIN],CECPINDATA[Program Name])</f>
        <v xml:space="preserve">PROB RESOURCE FAMILY APPROVAL PROB </v>
      </c>
      <c r="C23" s="93">
        <f>IFERROR(_xlfn.XLOOKUP(COSTCALC[[#This Row],[CECRIS PIN]],TIMESTUDYSUMM[CECRIS PIN],TIMESTUDYSUMM[Allocable Hours %]),0)</f>
        <v>5.3006460162332285E-2</v>
      </c>
      <c r="D23" s="94">
        <f>$C$4*COSTCALC[[#This Row],[Allocable Hours (%)]]</f>
        <v>95411.628292198118</v>
      </c>
      <c r="E23" s="94">
        <f>$E$4*COSTCALC[[#This Row],[Payroll Cost]]</f>
        <v>55746.737483860947</v>
      </c>
      <c r="F23" s="94">
        <f>IFERROR(_xlfn.XLOOKUP(COSTCALC[[#This Row],[CECRIS PIN]],COSTSUMM[CECRIS PIN],COSTSUMM[Cost]),0)</f>
        <v>0</v>
      </c>
      <c r="G23" s="94">
        <f>COSTCALC[[#This Row],[Non Payroll Cost]]+COSTCALC[[#This Row],[Indirect Cost]]+COSTCALC[[#This Row],[Payroll Cost]]</f>
        <v>151158.36577605907</v>
      </c>
      <c r="H23" s="97" t="str">
        <f>_xlfn.XLOOKUP(COSTCALC[[#This Row],[CECRIS PIN]],CECPINDATA[CECRIS PIN],CECPINDATA[DISCOUNT RATE])</f>
        <v>Y</v>
      </c>
      <c r="I23" s="94">
        <f>IF(COSTCALC[[#This Row],[Apply Federal Discount Rate]]="Y",COSTCALC[[#This Row],[Total Program Cost]]*$H$4,COSTCALC[[#This Row],[Total Program Cost]])</f>
        <v>95200.748032688221</v>
      </c>
      <c r="J23" s="94">
        <f>COSTCALC[[#This Row],[Total Program Cost]]-COSTCALC[[#This Row],[Federal Cost]]</f>
        <v>55957.617743370851</v>
      </c>
      <c r="K23" s="94">
        <f>IFERROR(_xlfn.XLOOKUP(COSTCALC[[#This Row],[Residual of PIN]],COSTCALC[CECRIS PIN],COSTCALC[Non Fed Cost]),0)</f>
        <v>0</v>
      </c>
      <c r="L23" s="97" t="str">
        <f>_xlfn.XLOOKUP(COSTCALC[[#This Row],[CECRIS PIN]],CECPINDATA[CECRIS PIN],CECPINDATA[Non Fed Residual Of])</f>
        <v/>
      </c>
      <c r="M23" s="96">
        <f>IF(COSTCALC[[#This Row],[CECRIS PIN]]="Prob Only",0,COSTCALC[[#This Row],[Federal Cost]]+COSTCALC[[#This Row],[NonFed Cost Claimed]])</f>
        <v>95200.748032688221</v>
      </c>
      <c r="N23" s="52"/>
      <c r="O23" s="52"/>
      <c r="P23" s="52"/>
      <c r="Q23" s="52"/>
      <c r="R23" s="52"/>
      <c r="S23" s="52"/>
    </row>
    <row r="24" spans="1:19" s="56" customFormat="1" x14ac:dyDescent="0.25">
      <c r="A24" s="20" t="s">
        <v>12</v>
      </c>
      <c r="B24" s="21" t="str">
        <f>_xlfn.XLOOKUP(COSTCALC[[#This Row],[CECRIS PIN]],CECPINDATA[CECRIS PIN],CECPINDATA[Program Name])</f>
        <v>PROB RFA PROB NON FED</v>
      </c>
      <c r="C24" s="93">
        <f>IFERROR(_xlfn.XLOOKUP(COSTCALC[[#This Row],[CECRIS PIN]],TIMESTUDYSUMM[CECRIS PIN],TIMESTUDYSUMM[Allocable Hours %]),0)</f>
        <v>0</v>
      </c>
      <c r="D24" s="94">
        <f>$C$4*COSTCALC[[#This Row],[Allocable Hours (%)]]</f>
        <v>0</v>
      </c>
      <c r="E24" s="94">
        <f>$E$4*COSTCALC[[#This Row],[Payroll Cost]]</f>
        <v>0</v>
      </c>
      <c r="F24" s="94">
        <f>IFERROR(_xlfn.XLOOKUP(COSTCALC[[#This Row],[CECRIS PIN]],COSTSUMM[CECRIS PIN],COSTSUMM[Cost]),0)</f>
        <v>0</v>
      </c>
      <c r="G24" s="94">
        <f>COSTCALC[[#This Row],[Non Payroll Cost]]+COSTCALC[[#This Row],[Indirect Cost]]+COSTCALC[[#This Row],[Payroll Cost]]</f>
        <v>0</v>
      </c>
      <c r="H24" s="97" t="str">
        <f>_xlfn.XLOOKUP(COSTCALC[[#This Row],[CECRIS PIN]],CECPINDATA[CECRIS PIN],CECPINDATA[DISCOUNT RATE])</f>
        <v>N</v>
      </c>
      <c r="I24" s="94">
        <f>IF(COSTCALC[[#This Row],[Apply Federal Discount Rate]]="Y",COSTCALC[[#This Row],[Total Program Cost]]*$H$4,COSTCALC[[#This Row],[Total Program Cost]])</f>
        <v>0</v>
      </c>
      <c r="J24" s="94">
        <f>COSTCALC[[#This Row],[Total Program Cost]]-COSTCALC[[#This Row],[Federal Cost]]</f>
        <v>0</v>
      </c>
      <c r="K24" s="94">
        <f>IFERROR(_xlfn.XLOOKUP(COSTCALC[[#This Row],[Residual of PIN]],COSTCALC[CECRIS PIN],COSTCALC[Non Fed Cost]),0)</f>
        <v>55957.617743370851</v>
      </c>
      <c r="L24" s="97" t="str">
        <f>_xlfn.XLOOKUP(COSTCALC[[#This Row],[CECRIS PIN]],CECPINDATA[CECRIS PIN],CECPINDATA[Non Fed Residual Of])</f>
        <v>08890059</v>
      </c>
      <c r="M24" s="96">
        <f>IF(COSTCALC[[#This Row],[CECRIS PIN]]="Prob Only",0,COSTCALC[[#This Row],[Federal Cost]]+COSTCALC[[#This Row],[NonFed Cost Claimed]])</f>
        <v>55957.617743370851</v>
      </c>
      <c r="N24" s="52"/>
      <c r="O24" s="52"/>
      <c r="P24" s="52"/>
      <c r="Q24" s="52"/>
      <c r="R24" s="52"/>
      <c r="S24" s="52"/>
    </row>
    <row r="25" spans="1:19" s="56" customFormat="1" x14ac:dyDescent="0.25">
      <c r="A25" s="20" t="s">
        <v>14</v>
      </c>
      <c r="B25" s="21" t="str">
        <f>_xlfn.XLOOKUP(COSTCALC[[#This Row],[CECRIS PIN]],CECPINDATA[CECRIS PIN],CECPINDATA[Program Name])</f>
        <v>PROB ADMINISTRATIVE QI SUPPORT NMD FED</v>
      </c>
      <c r="C25" s="93">
        <f>IFERROR(_xlfn.XLOOKUP(COSTCALC[[#This Row],[CECRIS PIN]],TIMESTUDYSUMM[CECRIS PIN],TIMESTUDYSUMM[Allocable Hours %]),0)</f>
        <v>0</v>
      </c>
      <c r="D25" s="94">
        <f>$C$4*COSTCALC[[#This Row],[Allocable Hours (%)]]</f>
        <v>0</v>
      </c>
      <c r="E25" s="94">
        <f>$E$4*COSTCALC[[#This Row],[Payroll Cost]]</f>
        <v>0</v>
      </c>
      <c r="F25" s="94">
        <f>IFERROR(_xlfn.XLOOKUP(COSTCALC[[#This Row],[CECRIS PIN]],COSTSUMM[CECRIS PIN],COSTSUMM[Cost]),0)</f>
        <v>0</v>
      </c>
      <c r="G25" s="94">
        <f>COSTCALC[[#This Row],[Non Payroll Cost]]+COSTCALC[[#This Row],[Indirect Cost]]+COSTCALC[[#This Row],[Payroll Cost]]</f>
        <v>0</v>
      </c>
      <c r="H25" s="97" t="str">
        <f>_xlfn.XLOOKUP(COSTCALC[[#This Row],[CECRIS PIN]],CECPINDATA[CECRIS PIN],CECPINDATA[DISCOUNT RATE])</f>
        <v>Y</v>
      </c>
      <c r="I25" s="94">
        <f>IF(COSTCALC[[#This Row],[Apply Federal Discount Rate]]="Y",COSTCALC[[#This Row],[Total Program Cost]]*$H$4,COSTCALC[[#This Row],[Total Program Cost]])</f>
        <v>0</v>
      </c>
      <c r="J25" s="94">
        <f>COSTCALC[[#This Row],[Total Program Cost]]-COSTCALC[[#This Row],[Federal Cost]]</f>
        <v>0</v>
      </c>
      <c r="K25" s="94">
        <f>IFERROR(_xlfn.XLOOKUP(COSTCALC[[#This Row],[Residual of PIN]],COSTCALC[CECRIS PIN],COSTCALC[Non Fed Cost]),0)</f>
        <v>0</v>
      </c>
      <c r="L25" s="97" t="str">
        <f>_xlfn.XLOOKUP(COSTCALC[[#This Row],[CECRIS PIN]],CECPINDATA[CECRIS PIN],CECPINDATA[Non Fed Residual Of])</f>
        <v/>
      </c>
      <c r="M25" s="96">
        <f>IF(COSTCALC[[#This Row],[CECRIS PIN]]="Prob Only",0,COSTCALC[[#This Row],[Federal Cost]]+COSTCALC[[#This Row],[NonFed Cost Claimed]])</f>
        <v>0</v>
      </c>
      <c r="N25" s="52"/>
      <c r="O25" s="52"/>
      <c r="P25" s="52"/>
      <c r="Q25" s="52"/>
      <c r="R25" s="52"/>
      <c r="S25" s="52"/>
    </row>
    <row r="26" spans="1:19" x14ac:dyDescent="0.25">
      <c r="A26" s="20" t="s">
        <v>9</v>
      </c>
      <c r="B26" s="21" t="str">
        <f>_xlfn.XLOOKUP(COSTCALC[[#This Row],[CECRIS PIN]],CECPINDATA[CECRIS PIN],CECPINDATA[Program Name])</f>
        <v>PROB ADMINISTRATIVE QI SUPPORT NON FED</v>
      </c>
      <c r="C26" s="93">
        <f>IFERROR(_xlfn.XLOOKUP(COSTCALC[[#This Row],[CECRIS PIN]],TIMESTUDYSUMM[CECRIS PIN],TIMESTUDYSUMM[Allocable Hours %]),0)</f>
        <v>0</v>
      </c>
      <c r="D26" s="94">
        <f>$C$4*COSTCALC[[#This Row],[Allocable Hours (%)]]</f>
        <v>0</v>
      </c>
      <c r="E26" s="94">
        <f>$E$4*COSTCALC[[#This Row],[Payroll Cost]]</f>
        <v>0</v>
      </c>
      <c r="F26" s="94">
        <f>IFERROR(_xlfn.XLOOKUP(COSTCALC[[#This Row],[CECRIS PIN]],COSTSUMM[CECRIS PIN],COSTSUMM[Cost]),0)</f>
        <v>0</v>
      </c>
      <c r="G26" s="94">
        <f>COSTCALC[[#This Row],[Non Payroll Cost]]+COSTCALC[[#This Row],[Indirect Cost]]+COSTCALC[[#This Row],[Payroll Cost]]</f>
        <v>0</v>
      </c>
      <c r="H26" s="97" t="str">
        <f>_xlfn.XLOOKUP(COSTCALC[[#This Row],[CECRIS PIN]],CECPINDATA[CECRIS PIN],CECPINDATA[DISCOUNT RATE])</f>
        <v>N</v>
      </c>
      <c r="I26" s="94">
        <f>IF(COSTCALC[[#This Row],[Apply Federal Discount Rate]]="Y",COSTCALC[[#This Row],[Total Program Cost]]*$H$4,COSTCALC[[#This Row],[Total Program Cost]])</f>
        <v>0</v>
      </c>
      <c r="J26" s="94">
        <f>COSTCALC[[#This Row],[Total Program Cost]]-COSTCALC[[#This Row],[Federal Cost]]</f>
        <v>0</v>
      </c>
      <c r="K26" s="94">
        <f>IFERROR(_xlfn.XLOOKUP(COSTCALC[[#This Row],[Residual of PIN]],COSTCALC[CECRIS PIN],COSTCALC[Non Fed Cost]),0)</f>
        <v>0</v>
      </c>
      <c r="L26" s="97" t="str">
        <f>_xlfn.XLOOKUP(COSTCALC[[#This Row],[CECRIS PIN]],CECPINDATA[CECRIS PIN],CECPINDATA[Non Fed Residual Of])</f>
        <v>08860059</v>
      </c>
      <c r="M26" s="96">
        <f>IF(COSTCALC[[#This Row],[CECRIS PIN]]="Prob Only",0,COSTCALC[[#This Row],[Federal Cost]]+COSTCALC[[#This Row],[NonFed Cost Claimed]])</f>
        <v>0</v>
      </c>
    </row>
    <row r="27" spans="1:19" x14ac:dyDescent="0.25">
      <c r="A27" s="20" t="s">
        <v>47</v>
      </c>
      <c r="B27" s="21" t="str">
        <f>_xlfn.XLOOKUP(COSTCALC[[#This Row],[CECRIS PIN]],CECPINDATA[CECRIS PIN],CECPINDATA[Program Name])</f>
        <v>PROB FED PREVENTING SEX TRAFFICKING &amp; RUNAWAY</v>
      </c>
      <c r="C27" s="93">
        <f>IFERROR(_xlfn.XLOOKUP(COSTCALC[[#This Row],[CECRIS PIN]],TIMESTUDYSUMM[CECRIS PIN],TIMESTUDYSUMM[Allocable Hours %]),0)</f>
        <v>0</v>
      </c>
      <c r="D27" s="94">
        <f>$C$4*COSTCALC[[#This Row],[Allocable Hours (%)]]</f>
        <v>0</v>
      </c>
      <c r="E27" s="94">
        <f>$E$4*COSTCALC[[#This Row],[Payroll Cost]]</f>
        <v>0</v>
      </c>
      <c r="F27" s="94">
        <f>IFERROR(_xlfn.XLOOKUP(COSTCALC[[#This Row],[CECRIS PIN]],COSTSUMM[CECRIS PIN],COSTSUMM[Cost]),0)</f>
        <v>0</v>
      </c>
      <c r="G27" s="94">
        <f>COSTCALC[[#This Row],[Non Payroll Cost]]+COSTCALC[[#This Row],[Indirect Cost]]+COSTCALC[[#This Row],[Payroll Cost]]</f>
        <v>0</v>
      </c>
      <c r="H27" s="97" t="str">
        <f>_xlfn.XLOOKUP(COSTCALC[[#This Row],[CECRIS PIN]],CECPINDATA[CECRIS PIN],CECPINDATA[DISCOUNT RATE])</f>
        <v>N</v>
      </c>
      <c r="I27" s="94">
        <f>IF(COSTCALC[[#This Row],[Apply Federal Discount Rate]]="Y",COSTCALC[[#This Row],[Total Program Cost]]*$H$4,COSTCALC[[#This Row],[Total Program Cost]])</f>
        <v>0</v>
      </c>
      <c r="J27" s="94">
        <f>COSTCALC[[#This Row],[Total Program Cost]]-COSTCALC[[#This Row],[Federal Cost]]</f>
        <v>0</v>
      </c>
      <c r="K27" s="94">
        <f>IFERROR(_xlfn.XLOOKUP(COSTCALC[[#This Row],[Residual of PIN]],COSTCALC[CECRIS PIN],COSTCALC[Non Fed Cost]),0)</f>
        <v>0</v>
      </c>
      <c r="L27" s="97" t="str">
        <f>_xlfn.XLOOKUP(COSTCALC[[#This Row],[CECRIS PIN]],CECPINDATA[CECRIS PIN],CECPINDATA[Non Fed Residual Of])</f>
        <v/>
      </c>
      <c r="M27" s="96">
        <f>IF(COSTCALC[[#This Row],[CECRIS PIN]]="Prob Only",0,COSTCALC[[#This Row],[Federal Cost]]+COSTCALC[[#This Row],[NonFed Cost Claimed]])</f>
        <v>0</v>
      </c>
    </row>
    <row r="28" spans="1:19" x14ac:dyDescent="0.25">
      <c r="A28" s="20" t="s">
        <v>16</v>
      </c>
      <c r="B28" s="21" t="str">
        <f>_xlfn.XLOOKUP(COSTCALC[[#This Row],[CECRIS PIN]],CECPINDATA[CECRIS PIN],CECPINDATA[Program Name])</f>
        <v>PROB ADMINISTRATIVE QI SUPPORT NMD NON FED</v>
      </c>
      <c r="C28" s="99">
        <f>IFERROR(_xlfn.XLOOKUP(COSTCALC[[#This Row],[CECRIS PIN]],TIMESTUDYSUMM[CECRIS PIN],TIMESTUDYSUMM[Allocable Hours %]),0)</f>
        <v>0</v>
      </c>
      <c r="D28" s="100">
        <f>$C$4*COSTCALC[[#This Row],[Allocable Hours (%)]]</f>
        <v>0</v>
      </c>
      <c r="E28" s="100">
        <f>$E$4*COSTCALC[[#This Row],[Payroll Cost]]</f>
        <v>0</v>
      </c>
      <c r="F28" s="100">
        <f>IFERROR(_xlfn.XLOOKUP(COSTCALC[[#This Row],[CECRIS PIN]],COSTSUMM[CECRIS PIN],COSTSUMM[Cost]),0)</f>
        <v>0</v>
      </c>
      <c r="G28" s="101">
        <f>COSTCALC[[#This Row],[Non Payroll Cost]]+COSTCALC[[#This Row],[Indirect Cost]]+COSTCALC[[#This Row],[Payroll Cost]]</f>
        <v>0</v>
      </c>
      <c r="H28" s="97" t="str">
        <f>_xlfn.XLOOKUP(COSTCALC[[#This Row],[CECRIS PIN]],CECPINDATA[CECRIS PIN],CECPINDATA[DISCOUNT RATE])</f>
        <v>N</v>
      </c>
      <c r="I28" s="100">
        <f>IF(COSTCALC[[#This Row],[Apply Federal Discount Rate]]="Y",COSTCALC[[#This Row],[Total Program Cost]]*$H$4,COSTCALC[[#This Row],[Total Program Cost]])</f>
        <v>0</v>
      </c>
      <c r="J28" s="100">
        <f>COSTCALC[[#This Row],[Total Program Cost]]-COSTCALC[[#This Row],[Federal Cost]]</f>
        <v>0</v>
      </c>
      <c r="K28" s="100">
        <f>IFERROR(_xlfn.XLOOKUP(COSTCALC[[#This Row],[Residual of PIN]],COSTCALC[CECRIS PIN],COSTCALC[Non Fed Cost]),0)</f>
        <v>0</v>
      </c>
      <c r="L28" s="97" t="str">
        <f>_xlfn.XLOOKUP(COSTCALC[[#This Row],[CECRIS PIN]],CECPINDATA[CECRIS PIN],CECPINDATA[Non Fed Residual Of])</f>
        <v>09130059</v>
      </c>
      <c r="M28" s="102">
        <f>IF(COSTCALC[[#This Row],[CECRIS PIN]]="Prob Only",0,COSTCALC[[#This Row],[Federal Cost]]+COSTCALC[[#This Row],[NonFed Cost Claimed]])</f>
        <v>0</v>
      </c>
    </row>
    <row r="29" spans="1:19" x14ac:dyDescent="0.25">
      <c r="A29" s="20" t="s">
        <v>19</v>
      </c>
      <c r="B29" s="21" t="str">
        <f>_xlfn.XLOOKUP(COSTCALC[[#This Row],[CECRIS PIN]],CECPINDATA[CECRIS PIN],CECPINDATA[Program Name])</f>
        <v>PROB CHILD &amp; FAMILY TEAM (CFT)</v>
      </c>
      <c r="C29" s="99">
        <f>IFERROR(_xlfn.XLOOKUP(COSTCALC[[#This Row],[CECRIS PIN]],TIMESTUDYSUMM[CECRIS PIN],TIMESTUDYSUMM[Allocable Hours %]),0)</f>
        <v>0</v>
      </c>
      <c r="D29" s="94">
        <f>$C$4*COSTCALC[[#This Row],[Allocable Hours (%)]]</f>
        <v>0</v>
      </c>
      <c r="E29" s="94">
        <f>$E$4*COSTCALC[[#This Row],[Payroll Cost]]</f>
        <v>0</v>
      </c>
      <c r="F29" s="94">
        <f>IFERROR(_xlfn.XLOOKUP(COSTCALC[[#This Row],[CECRIS PIN]],COSTSUMM[CECRIS PIN],COSTSUMM[Cost]),0)</f>
        <v>0</v>
      </c>
      <c r="G29" s="94">
        <f>COSTCALC[[#This Row],[Non Payroll Cost]]+COSTCALC[[#This Row],[Indirect Cost]]+COSTCALC[[#This Row],[Payroll Cost]]</f>
        <v>0</v>
      </c>
      <c r="H29" s="97" t="str">
        <f>_xlfn.XLOOKUP(COSTCALC[[#This Row],[CECRIS PIN]],CECPINDATA[CECRIS PIN],CECPINDATA[DISCOUNT RATE])</f>
        <v>Y</v>
      </c>
      <c r="I29" s="100">
        <f>IF(COSTCALC[[#This Row],[Apply Federal Discount Rate]]="Y",COSTCALC[[#This Row],[Total Program Cost]]*$H$4,COSTCALC[[#This Row],[Total Program Cost]])</f>
        <v>0</v>
      </c>
      <c r="J29" s="100">
        <f>COSTCALC[[#This Row],[Total Program Cost]]-COSTCALC[[#This Row],[Federal Cost]]</f>
        <v>0</v>
      </c>
      <c r="K29" s="100">
        <f>IFERROR(_xlfn.XLOOKUP(COSTCALC[[#This Row],[Residual of PIN]],COSTCALC[CECRIS PIN],COSTCALC[Non Fed Cost]),0)</f>
        <v>0</v>
      </c>
      <c r="L29" s="97" t="str">
        <f>_xlfn.XLOOKUP(COSTCALC[[#This Row],[CECRIS PIN]],CECPINDATA[CECRIS PIN],CECPINDATA[Non Fed Residual Of])</f>
        <v/>
      </c>
      <c r="M29" s="102">
        <f>IF(COSTCALC[[#This Row],[CECRIS PIN]]="Prob Only",0,COSTCALC[[#This Row],[Federal Cost]]+COSTCALC[[#This Row],[NonFed Cost Claimed]])</f>
        <v>0</v>
      </c>
    </row>
    <row r="30" spans="1:19" x14ac:dyDescent="0.25">
      <c r="A30" s="20" t="s">
        <v>21</v>
      </c>
      <c r="B30" s="21" t="str">
        <f>_xlfn.XLOOKUP(COSTCALC[[#This Row],[CECRIS PIN]],CECPINDATA[CECRIS PIN],CECPINDATA[Program Name])</f>
        <v>PROB CFT NON FED</v>
      </c>
      <c r="C30" s="99">
        <f>IFERROR(_xlfn.XLOOKUP(COSTCALC[[#This Row],[CECRIS PIN]],TIMESTUDYSUMM[CECRIS PIN],TIMESTUDYSUMM[Allocable Hours %]),0)</f>
        <v>0</v>
      </c>
      <c r="D30" s="94">
        <f>$C$4*COSTCALC[[#This Row],[Allocable Hours (%)]]</f>
        <v>0</v>
      </c>
      <c r="E30" s="94">
        <f>$E$4*COSTCALC[[#This Row],[Payroll Cost]]</f>
        <v>0</v>
      </c>
      <c r="F30" s="94">
        <f>IFERROR(_xlfn.XLOOKUP(COSTCALC[[#This Row],[CECRIS PIN]],COSTSUMM[CECRIS PIN],COSTSUMM[Cost]),0)</f>
        <v>0</v>
      </c>
      <c r="G30" s="94">
        <f>COSTCALC[[#This Row],[Non Payroll Cost]]+COSTCALC[[#This Row],[Indirect Cost]]+COSTCALC[[#This Row],[Payroll Cost]]</f>
        <v>0</v>
      </c>
      <c r="H30" s="97" t="str">
        <f>_xlfn.XLOOKUP(COSTCALC[[#This Row],[CECRIS PIN]],CECPINDATA[CECRIS PIN],CECPINDATA[DISCOUNT RATE])</f>
        <v>N</v>
      </c>
      <c r="I30" s="100">
        <f>IF(COSTCALC[[#This Row],[Apply Federal Discount Rate]]="Y",COSTCALC[[#This Row],[Total Program Cost]]*$H$4,COSTCALC[[#This Row],[Total Program Cost]])</f>
        <v>0</v>
      </c>
      <c r="J30" s="100">
        <f>COSTCALC[[#This Row],[Total Program Cost]]-COSTCALC[[#This Row],[Federal Cost]]</f>
        <v>0</v>
      </c>
      <c r="K30" s="100">
        <f>IFERROR(_xlfn.XLOOKUP(COSTCALC[[#This Row],[Residual of PIN]],COSTCALC[CECRIS PIN],COSTCALC[Non Fed Cost]),0)</f>
        <v>0</v>
      </c>
      <c r="L30" s="97" t="str">
        <f>_xlfn.XLOOKUP(COSTCALC[[#This Row],[CECRIS PIN]],CECPINDATA[CECRIS PIN],CECPINDATA[Non Fed Residual Of])</f>
        <v>09470059</v>
      </c>
      <c r="M30" s="102">
        <f>IF(COSTCALC[[#This Row],[CECRIS PIN]]="Prob Only",0,COSTCALC[[#This Row],[Federal Cost]]+COSTCALC[[#This Row],[NonFed Cost Claimed]])</f>
        <v>0</v>
      </c>
    </row>
    <row r="31" spans="1:19" x14ac:dyDescent="0.25">
      <c r="A31" s="20" t="s">
        <v>49</v>
      </c>
      <c r="B31" s="21" t="str">
        <f>_xlfn.XLOOKUP(COSTCALC[[#This Row],[CECRIS PIN]],CECPINDATA[CECRIS PIN],CECPINDATA[Program Name])</f>
        <v>PROB FED PREVENTING SEX TRAFFICKING–CANDIDATES</v>
      </c>
      <c r="C31" s="99">
        <f>IFERROR(_xlfn.XLOOKUP(COSTCALC[[#This Row],[CECRIS PIN]],TIMESTUDYSUMM[CECRIS PIN],TIMESTUDYSUMM[Allocable Hours %]),0)</f>
        <v>0</v>
      </c>
      <c r="D31" s="94">
        <f>$C$4*COSTCALC[[#This Row],[Allocable Hours (%)]]</f>
        <v>0</v>
      </c>
      <c r="E31" s="94">
        <f>$E$4*COSTCALC[[#This Row],[Payroll Cost]]</f>
        <v>0</v>
      </c>
      <c r="F31" s="94">
        <f>IFERROR(_xlfn.XLOOKUP(COSTCALC[[#This Row],[CECRIS PIN]],COSTSUMM[CECRIS PIN],COSTSUMM[Cost]),0)</f>
        <v>0</v>
      </c>
      <c r="G31" s="94">
        <f>COSTCALC[[#This Row],[Non Payroll Cost]]+COSTCALC[[#This Row],[Indirect Cost]]+COSTCALC[[#This Row],[Payroll Cost]]</f>
        <v>0</v>
      </c>
      <c r="H31" s="97" t="str">
        <f>_xlfn.XLOOKUP(COSTCALC[[#This Row],[CECRIS PIN]],CECPINDATA[CECRIS PIN],CECPINDATA[DISCOUNT RATE])</f>
        <v>N</v>
      </c>
      <c r="I31" s="100">
        <f>IF(COSTCALC[[#This Row],[Apply Federal Discount Rate]]="Y",COSTCALC[[#This Row],[Total Program Cost]]*$H$4,COSTCALC[[#This Row],[Total Program Cost]])</f>
        <v>0</v>
      </c>
      <c r="J31" s="100">
        <f>COSTCALC[[#This Row],[Total Program Cost]]-COSTCALC[[#This Row],[Federal Cost]]</f>
        <v>0</v>
      </c>
      <c r="K31" s="100">
        <f>IFERROR(_xlfn.XLOOKUP(COSTCALC[[#This Row],[Residual of PIN]],COSTCALC[CECRIS PIN],COSTCALC[Non Fed Cost]),0)</f>
        <v>0</v>
      </c>
      <c r="L31" s="97" t="str">
        <f>_xlfn.XLOOKUP(COSTCALC[[#This Row],[CECRIS PIN]],CECPINDATA[CECRIS PIN],CECPINDATA[Non Fed Residual Of])</f>
        <v/>
      </c>
      <c r="M31" s="102">
        <f>IF(COSTCALC[[#This Row],[CECRIS PIN]]="Prob Only",0,COSTCALC[[#This Row],[Federal Cost]]+COSTCALC[[#This Row],[NonFed Cost Claimed]])</f>
        <v>0</v>
      </c>
    </row>
    <row r="32" spans="1:19" x14ac:dyDescent="0.25">
      <c r="A32" s="20" t="s">
        <v>23</v>
      </c>
      <c r="B32" s="21" t="str">
        <f>_xlfn.XLOOKUP(COSTCALC[[#This Row],[CECRIS PIN]],CECPINDATA[CECRIS PIN],CECPINDATA[Program Name])</f>
        <v>PROB CFT NON FED DETENTION</v>
      </c>
      <c r="C32" s="99">
        <f>IFERROR(_xlfn.XLOOKUP(COSTCALC[[#This Row],[CECRIS PIN]],TIMESTUDYSUMM[CECRIS PIN],TIMESTUDYSUMM[Allocable Hours %]),0)</f>
        <v>0</v>
      </c>
      <c r="D32" s="94">
        <f>$C$4*COSTCALC[[#This Row],[Allocable Hours (%)]]</f>
        <v>0</v>
      </c>
      <c r="E32" s="94">
        <f>$E$4*COSTCALC[[#This Row],[Payroll Cost]]</f>
        <v>0</v>
      </c>
      <c r="F32" s="94">
        <f>IFERROR(_xlfn.XLOOKUP(COSTCALC[[#This Row],[CECRIS PIN]],COSTSUMM[CECRIS PIN],COSTSUMM[Cost]),0)</f>
        <v>0</v>
      </c>
      <c r="G32" s="94">
        <f>COSTCALC[[#This Row],[Non Payroll Cost]]+COSTCALC[[#This Row],[Indirect Cost]]+COSTCALC[[#This Row],[Payroll Cost]]</f>
        <v>0</v>
      </c>
      <c r="H32" s="97" t="str">
        <f>_xlfn.XLOOKUP(COSTCALC[[#This Row],[CECRIS PIN]],CECPINDATA[CECRIS PIN],CECPINDATA[DISCOUNT RATE])</f>
        <v>N</v>
      </c>
      <c r="I32" s="100">
        <f>IF(COSTCALC[[#This Row],[Apply Federal Discount Rate]]="Y",COSTCALC[[#This Row],[Total Program Cost]]*$H$4,COSTCALC[[#This Row],[Total Program Cost]])</f>
        <v>0</v>
      </c>
      <c r="J32" s="100">
        <f>COSTCALC[[#This Row],[Total Program Cost]]-COSTCALC[[#This Row],[Federal Cost]]</f>
        <v>0</v>
      </c>
      <c r="K32" s="100">
        <f>IFERROR(_xlfn.XLOOKUP(COSTCALC[[#This Row],[Residual of PIN]],COSTCALC[CECRIS PIN],COSTCALC[Non Fed Cost]),0)</f>
        <v>0</v>
      </c>
      <c r="L32" s="97" t="str">
        <f>_xlfn.XLOOKUP(COSTCALC[[#This Row],[CECRIS PIN]],CECPINDATA[CECRIS PIN],CECPINDATA[Non Fed Residual Of])</f>
        <v/>
      </c>
      <c r="M32" s="102">
        <f>IF(COSTCALC[[#This Row],[CECRIS PIN]]="Prob Only",0,COSTCALC[[#This Row],[Federal Cost]]+COSTCALC[[#This Row],[NonFed Cost Claimed]])</f>
        <v>0</v>
      </c>
    </row>
    <row r="33" spans="1:13" x14ac:dyDescent="0.25">
      <c r="A33" s="20" t="s">
        <v>155</v>
      </c>
      <c r="B33" s="21" t="str">
        <f>_xlfn.XLOOKUP(COSTCALC[[#This Row],[CECRIS PIN]],CECPINDATA[CECRIS PIN],CECPINDATA[Program Name])</f>
        <v>PROB CAPACITY BUILDING FED</v>
      </c>
      <c r="C33" s="99">
        <f>IFERROR(_xlfn.XLOOKUP(COSTCALC[[#This Row],[CECRIS PIN]],TIMESTUDYSUMM[CECRIS PIN],TIMESTUDYSUMM[Allocable Hours %]),0)</f>
        <v>0</v>
      </c>
      <c r="D33" s="94">
        <f>$C$4*COSTCALC[[#This Row],[Allocable Hours (%)]]</f>
        <v>0</v>
      </c>
      <c r="E33" s="94">
        <f>$E$4*COSTCALC[[#This Row],[Payroll Cost]]</f>
        <v>0</v>
      </c>
      <c r="F33" s="94">
        <f>IFERROR(_xlfn.XLOOKUP(COSTCALC[[#This Row],[CECRIS PIN]],COSTSUMM[CECRIS PIN],COSTSUMM[Cost]),0)</f>
        <v>0</v>
      </c>
      <c r="G33" s="94">
        <f>COSTCALC[[#This Row],[Non Payroll Cost]]+COSTCALC[[#This Row],[Indirect Cost]]+COSTCALC[[#This Row],[Payroll Cost]]</f>
        <v>0</v>
      </c>
      <c r="H33" s="97" t="str">
        <f>_xlfn.XLOOKUP(COSTCALC[[#This Row],[CECRIS PIN]],CECPINDATA[CECRIS PIN],CECPINDATA[DISCOUNT RATE])</f>
        <v>Y</v>
      </c>
      <c r="I33" s="100">
        <f>IF(COSTCALC[[#This Row],[Apply Federal Discount Rate]]="Y",COSTCALC[[#This Row],[Total Program Cost]]*$H$4,COSTCALC[[#This Row],[Total Program Cost]])</f>
        <v>0</v>
      </c>
      <c r="J33" s="100">
        <f>COSTCALC[[#This Row],[Total Program Cost]]-COSTCALC[[#This Row],[Federal Cost]]</f>
        <v>0</v>
      </c>
      <c r="K33" s="100">
        <f>IFERROR(_xlfn.XLOOKUP(COSTCALC[[#This Row],[Residual of PIN]],COSTCALC[CECRIS PIN],COSTCALC[Non Fed Cost]),0)</f>
        <v>0</v>
      </c>
      <c r="L33" s="97" t="str">
        <f>_xlfn.XLOOKUP(COSTCALC[[#This Row],[CECRIS PIN]],CECPINDATA[CECRIS PIN],CECPINDATA[Non Fed Residual Of])</f>
        <v/>
      </c>
      <c r="M33" s="102">
        <f>IF(COSTCALC[[#This Row],[CECRIS PIN]]="Prob Only",0,COSTCALC[[#This Row],[Federal Cost]]+COSTCALC[[#This Row],[NonFed Cost Claimed]])</f>
        <v>0</v>
      </c>
    </row>
    <row r="34" spans="1:13" x14ac:dyDescent="0.25">
      <c r="A34" s="20" t="s">
        <v>156</v>
      </c>
      <c r="B34" s="21" t="str">
        <f>_xlfn.XLOOKUP(COSTCALC[[#This Row],[CECRIS PIN]],CECPINDATA[CECRIS PIN],CECPINDATA[Program Name])</f>
        <v>PROB CAPACITY BUILDING NON FED</v>
      </c>
      <c r="C34" s="99">
        <f>IFERROR(_xlfn.XLOOKUP(COSTCALC[[#This Row],[CECRIS PIN]],TIMESTUDYSUMM[CECRIS PIN],TIMESTUDYSUMM[Allocable Hours %]),0)</f>
        <v>0</v>
      </c>
      <c r="D34" s="94">
        <f>$C$4*COSTCALC[[#This Row],[Allocable Hours (%)]]</f>
        <v>0</v>
      </c>
      <c r="E34" s="94">
        <f>$E$4*COSTCALC[[#This Row],[Payroll Cost]]</f>
        <v>0</v>
      </c>
      <c r="F34" s="94">
        <f>IFERROR(_xlfn.XLOOKUP(COSTCALC[[#This Row],[CECRIS PIN]],COSTSUMM[CECRIS PIN],COSTSUMM[Cost]),0)</f>
        <v>0</v>
      </c>
      <c r="G34" s="94">
        <f>COSTCALC[[#This Row],[Non Payroll Cost]]+COSTCALC[[#This Row],[Indirect Cost]]+COSTCALC[[#This Row],[Payroll Cost]]</f>
        <v>0</v>
      </c>
      <c r="H34" s="97" t="str">
        <f>_xlfn.XLOOKUP(COSTCALC[[#This Row],[CECRIS PIN]],CECPINDATA[CECRIS PIN],CECPINDATA[DISCOUNT RATE])</f>
        <v>N</v>
      </c>
      <c r="I34" s="100">
        <f>IF(COSTCALC[[#This Row],[Apply Federal Discount Rate]]="Y",COSTCALC[[#This Row],[Total Program Cost]]*$H$4,COSTCALC[[#This Row],[Total Program Cost]])</f>
        <v>0</v>
      </c>
      <c r="J34" s="100">
        <f>COSTCALC[[#This Row],[Total Program Cost]]-COSTCALC[[#This Row],[Federal Cost]]</f>
        <v>0</v>
      </c>
      <c r="K34" s="100">
        <f>IFERROR(_xlfn.XLOOKUP(COSTCALC[[#This Row],[Residual of PIN]],COSTCALC[CECRIS PIN],COSTCALC[Non Fed Cost]),0)</f>
        <v>0</v>
      </c>
      <c r="L34" s="97">
        <f>_xlfn.XLOOKUP(COSTCALC[[#This Row],[CECRIS PIN]],CECPINDATA[CECRIS PIN],CECPINDATA[Non Fed Residual Of])</f>
        <v>10020059</v>
      </c>
      <c r="M34" s="102">
        <f>IF(COSTCALC[[#This Row],[CECRIS PIN]]="Prob Only",0,COSTCALC[[#This Row],[Federal Cost]]+COSTCALC[[#This Row],[NonFed Cost Claimed]])</f>
        <v>0</v>
      </c>
    </row>
    <row r="35" spans="1:13" x14ac:dyDescent="0.25">
      <c r="A35" s="20" t="s">
        <v>51</v>
      </c>
      <c r="B35" s="21" t="str">
        <f>_xlfn.XLOOKUP(COSTCALC[[#This Row],[CECRIS PIN]],CECPINDATA[CECRIS PIN],CECPINDATA[Program Name])</f>
        <v>PROB IVE PREVENTION ADMIN</v>
      </c>
      <c r="C35" s="99">
        <f>IFERROR(_xlfn.XLOOKUP(COSTCALC[[#This Row],[CECRIS PIN]],TIMESTUDYSUMM[CECRIS PIN],TIMESTUDYSUMM[Allocable Hours %]),0)</f>
        <v>0</v>
      </c>
      <c r="D35" s="94">
        <f>$C$4*COSTCALC[[#This Row],[Allocable Hours (%)]]</f>
        <v>0</v>
      </c>
      <c r="E35" s="94">
        <f>$E$4*COSTCALC[[#This Row],[Payroll Cost]]</f>
        <v>0</v>
      </c>
      <c r="F35" s="94">
        <f>IFERROR(_xlfn.XLOOKUP(COSTCALC[[#This Row],[CECRIS PIN]],COSTSUMM[CECRIS PIN],COSTSUMM[Cost]),0)</f>
        <v>0</v>
      </c>
      <c r="G35" s="94">
        <f>COSTCALC[[#This Row],[Non Payroll Cost]]+COSTCALC[[#This Row],[Indirect Cost]]+COSTCALC[[#This Row],[Payroll Cost]]</f>
        <v>0</v>
      </c>
      <c r="H35" s="97" t="str">
        <f>_xlfn.XLOOKUP(COSTCALC[[#This Row],[CECRIS PIN]],CECPINDATA[CECRIS PIN],CECPINDATA[DISCOUNT RATE])</f>
        <v>N</v>
      </c>
      <c r="I35" s="100">
        <f>IF(COSTCALC[[#This Row],[Apply Federal Discount Rate]]="Y",COSTCALC[[#This Row],[Total Program Cost]]*$H$4,COSTCALC[[#This Row],[Total Program Cost]])</f>
        <v>0</v>
      </c>
      <c r="J35" s="100">
        <f>COSTCALC[[#This Row],[Total Program Cost]]-COSTCALC[[#This Row],[Federal Cost]]</f>
        <v>0</v>
      </c>
      <c r="K35" s="100">
        <f>IFERROR(_xlfn.XLOOKUP(COSTCALC[[#This Row],[Residual of PIN]],COSTCALC[CECRIS PIN],COSTCALC[Non Fed Cost]),0)</f>
        <v>0</v>
      </c>
      <c r="L35" s="97" t="str">
        <f>_xlfn.XLOOKUP(COSTCALC[[#This Row],[CECRIS PIN]],CECPINDATA[CECRIS PIN],CECPINDATA[Non Fed Residual Of])</f>
        <v/>
      </c>
      <c r="M35" s="102">
        <f>IF(COSTCALC[[#This Row],[CECRIS PIN]]="Prob Only",0,COSTCALC[[#This Row],[Federal Cost]]+COSTCALC[[#This Row],[NonFed Cost Claimed]])</f>
        <v>0</v>
      </c>
    </row>
    <row r="36" spans="1:13" x14ac:dyDescent="0.25">
      <c r="A36" s="20" t="s">
        <v>53</v>
      </c>
      <c r="B36" s="21" t="str">
        <f>_xlfn.XLOOKUP(COSTCALC[[#This Row],[CECRIS PIN]],CECPINDATA[CECRIS PIN],CECPINDATA[Program Name])</f>
        <v>PROB IVE PREVENTION TRAINING</v>
      </c>
      <c r="C36" s="99">
        <f>IFERROR(_xlfn.XLOOKUP(COSTCALC[[#This Row],[CECRIS PIN]],TIMESTUDYSUMM[CECRIS PIN],TIMESTUDYSUMM[Allocable Hours %]),0)</f>
        <v>0</v>
      </c>
      <c r="D36" s="94">
        <f>$C$4*COSTCALC[[#This Row],[Allocable Hours (%)]]</f>
        <v>0</v>
      </c>
      <c r="E36" s="94">
        <f>$E$4*COSTCALC[[#This Row],[Payroll Cost]]</f>
        <v>0</v>
      </c>
      <c r="F36" s="94">
        <f>IFERROR(_xlfn.XLOOKUP(COSTCALC[[#This Row],[CECRIS PIN]],COSTSUMM[CECRIS PIN],COSTSUMM[Cost]),0)</f>
        <v>0</v>
      </c>
      <c r="G36" s="94">
        <f>COSTCALC[[#This Row],[Non Payroll Cost]]+COSTCALC[[#This Row],[Indirect Cost]]+COSTCALC[[#This Row],[Payroll Cost]]</f>
        <v>0</v>
      </c>
      <c r="H36" s="97" t="str">
        <f>_xlfn.XLOOKUP(COSTCALC[[#This Row],[CECRIS PIN]],CECPINDATA[CECRIS PIN],CECPINDATA[DISCOUNT RATE])</f>
        <v>N</v>
      </c>
      <c r="I36" s="100">
        <f>IF(COSTCALC[[#This Row],[Apply Federal Discount Rate]]="Y",COSTCALC[[#This Row],[Total Program Cost]]*$H$4,COSTCALC[[#This Row],[Total Program Cost]])</f>
        <v>0</v>
      </c>
      <c r="J36" s="100">
        <f>COSTCALC[[#This Row],[Total Program Cost]]-COSTCALC[[#This Row],[Federal Cost]]</f>
        <v>0</v>
      </c>
      <c r="K36" s="100">
        <f>IFERROR(_xlfn.XLOOKUP(COSTCALC[[#This Row],[Residual of PIN]],COSTCALC[CECRIS PIN],COSTCALC[Non Fed Cost]),0)</f>
        <v>0</v>
      </c>
      <c r="L36" s="97" t="str">
        <f>_xlfn.XLOOKUP(COSTCALC[[#This Row],[CECRIS PIN]],CECPINDATA[CECRIS PIN],CECPINDATA[Non Fed Residual Of])</f>
        <v/>
      </c>
      <c r="M36" s="102">
        <f>IF(COSTCALC[[#This Row],[CECRIS PIN]]="Prob Only",0,COSTCALC[[#This Row],[Federal Cost]]+COSTCALC[[#This Row],[NonFed Cost Claimed]])</f>
        <v>0</v>
      </c>
    </row>
    <row r="37" spans="1:13" x14ac:dyDescent="0.25">
      <c r="A37" s="20" t="s">
        <v>55</v>
      </c>
      <c r="B37" s="21" t="str">
        <f>_xlfn.XLOOKUP(COSTCALC[[#This Row],[CECRIS PIN]],CECPINDATA[CECRIS PIN],CECPINDATA[Program Name])</f>
        <v>PROB FFPS STATE BLOCK GRANT PREVENTION ADMIN &amp; TRAINING</v>
      </c>
      <c r="C37" s="99">
        <f>IFERROR(_xlfn.XLOOKUP(COSTCALC[[#This Row],[CECRIS PIN]],TIMESTUDYSUMM[CECRIS PIN],TIMESTUDYSUMM[Allocable Hours %]),0)</f>
        <v>0</v>
      </c>
      <c r="D37" s="94">
        <f>$C$4*COSTCALC[[#This Row],[Allocable Hours (%)]]</f>
        <v>0</v>
      </c>
      <c r="E37" s="94">
        <f>$E$4*COSTCALC[[#This Row],[Payroll Cost]]</f>
        <v>0</v>
      </c>
      <c r="F37" s="94">
        <f>IFERROR(_xlfn.XLOOKUP(COSTCALC[[#This Row],[CECRIS PIN]],COSTSUMM[CECRIS PIN],COSTSUMM[Cost]),0)</f>
        <v>0</v>
      </c>
      <c r="G37" s="94">
        <f>COSTCALC[[#This Row],[Non Payroll Cost]]+COSTCALC[[#This Row],[Indirect Cost]]+COSTCALC[[#This Row],[Payroll Cost]]</f>
        <v>0</v>
      </c>
      <c r="H37" s="97" t="str">
        <f>_xlfn.XLOOKUP(COSTCALC[[#This Row],[CECRIS PIN]],CECPINDATA[CECRIS PIN],CECPINDATA[DISCOUNT RATE])</f>
        <v>N</v>
      </c>
      <c r="I37" s="100">
        <f>IF(COSTCALC[[#This Row],[Apply Federal Discount Rate]]="Y",COSTCALC[[#This Row],[Total Program Cost]]*$H$4,COSTCALC[[#This Row],[Total Program Cost]])</f>
        <v>0</v>
      </c>
      <c r="J37" s="100">
        <f>COSTCALC[[#This Row],[Total Program Cost]]-COSTCALC[[#This Row],[Federal Cost]]</f>
        <v>0</v>
      </c>
      <c r="K37" s="100">
        <f>IFERROR(_xlfn.XLOOKUP(COSTCALC[[#This Row],[Residual of PIN]],COSTCALC[CECRIS PIN],COSTCALC[Non Fed Cost]),0)</f>
        <v>0</v>
      </c>
      <c r="L37" s="97" t="str">
        <f>_xlfn.XLOOKUP(COSTCALC[[#This Row],[CECRIS PIN]],CECPINDATA[CECRIS PIN],CECPINDATA[Non Fed Residual Of])</f>
        <v/>
      </c>
      <c r="M37" s="102">
        <f>IF(COSTCALC[[#This Row],[CECRIS PIN]]="Prob Only",0,COSTCALC[[#This Row],[Federal Cost]]+COSTCALC[[#This Row],[NonFed Cost Claimed]])</f>
        <v>0</v>
      </c>
    </row>
    <row r="38" spans="1:13" x14ac:dyDescent="0.25">
      <c r="A38" s="20" t="s">
        <v>57</v>
      </c>
      <c r="B38" s="21" t="str">
        <f>_xlfn.XLOOKUP(COSTCALC[[#This Row],[CECRIS PIN]],CECPINDATA[CECRIS PIN],CECPINDATA[Program Name])</f>
        <v>PROB FFPS STATE BLOCK GRANT PREVENTION SERVICES</v>
      </c>
      <c r="C38" s="99">
        <f>IFERROR(_xlfn.XLOOKUP(COSTCALC[[#This Row],[CECRIS PIN]],TIMESTUDYSUMM[CECRIS PIN],TIMESTUDYSUMM[Allocable Hours %]),0)</f>
        <v>0</v>
      </c>
      <c r="D38" s="94">
        <f>$C$4*COSTCALC[[#This Row],[Allocable Hours (%)]]</f>
        <v>0</v>
      </c>
      <c r="E38" s="94">
        <f>$E$4*COSTCALC[[#This Row],[Payroll Cost]]</f>
        <v>0</v>
      </c>
      <c r="F38" s="94">
        <f>IFERROR(_xlfn.XLOOKUP(COSTCALC[[#This Row],[CECRIS PIN]],COSTSUMM[CECRIS PIN],COSTSUMM[Cost]),0)</f>
        <v>0</v>
      </c>
      <c r="G38" s="94">
        <f>COSTCALC[[#This Row],[Non Payroll Cost]]+COSTCALC[[#This Row],[Indirect Cost]]+COSTCALC[[#This Row],[Payroll Cost]]</f>
        <v>0</v>
      </c>
      <c r="H38" s="97" t="str">
        <f>_xlfn.XLOOKUP(COSTCALC[[#This Row],[CECRIS PIN]],CECPINDATA[CECRIS PIN],CECPINDATA[DISCOUNT RATE])</f>
        <v>N</v>
      </c>
      <c r="I38" s="100">
        <f>IF(COSTCALC[[#This Row],[Apply Federal Discount Rate]]="Y",COSTCALC[[#This Row],[Total Program Cost]]*$H$4,COSTCALC[[#This Row],[Total Program Cost]])</f>
        <v>0</v>
      </c>
      <c r="J38" s="100">
        <f>COSTCALC[[#This Row],[Total Program Cost]]-COSTCALC[[#This Row],[Federal Cost]]</f>
        <v>0</v>
      </c>
      <c r="K38" s="100">
        <f>IFERROR(_xlfn.XLOOKUP(COSTCALC[[#This Row],[Residual of PIN]],COSTCALC[CECRIS PIN],COSTCALC[Non Fed Cost]),0)</f>
        <v>0</v>
      </c>
      <c r="L38" s="97" t="str">
        <f>_xlfn.XLOOKUP(COSTCALC[[#This Row],[CECRIS PIN]],CECPINDATA[CECRIS PIN],CECPINDATA[Non Fed Residual Of])</f>
        <v/>
      </c>
      <c r="M38" s="102">
        <f>IF(COSTCALC[[#This Row],[CECRIS PIN]]="Prob Only",0,COSTCALC[[#This Row],[Federal Cost]]+COSTCALC[[#This Row],[NonFed Cost Claimed]])</f>
        <v>0</v>
      </c>
    </row>
    <row r="39" spans="1:13" x14ac:dyDescent="0.25">
      <c r="A39" s="20" t="s">
        <v>59</v>
      </c>
      <c r="B39" s="21" t="str">
        <f>_xlfn.XLOOKUP(COSTCALC[[#This Row],[CECRIS PIN]],CECPINDATA[CECRIS PIN],CECPINDATA[Program Name])</f>
        <v>PROB FLEXIBLE FAMILY SUPPORTS &amp; HOME BASED FC</v>
      </c>
      <c r="C39" s="99">
        <f>IFERROR(_xlfn.XLOOKUP(COSTCALC[[#This Row],[CECRIS PIN]],TIMESTUDYSUMM[CECRIS PIN],TIMESTUDYSUMM[Allocable Hours %]),0)</f>
        <v>0</v>
      </c>
      <c r="D39" s="94">
        <f>$C$4*COSTCALC[[#This Row],[Allocable Hours (%)]]</f>
        <v>0</v>
      </c>
      <c r="E39" s="94">
        <f>$E$4*COSTCALC[[#This Row],[Payroll Cost]]</f>
        <v>0</v>
      </c>
      <c r="F39" s="94">
        <f>IFERROR(_xlfn.XLOOKUP(COSTCALC[[#This Row],[CECRIS PIN]],COSTSUMM[CECRIS PIN],COSTSUMM[Cost]),0)</f>
        <v>0</v>
      </c>
      <c r="G39" s="94">
        <f>COSTCALC[[#This Row],[Non Payroll Cost]]+COSTCALC[[#This Row],[Indirect Cost]]+COSTCALC[[#This Row],[Payroll Cost]]</f>
        <v>0</v>
      </c>
      <c r="H39" s="97" t="str">
        <f>_xlfn.XLOOKUP(COSTCALC[[#This Row],[CECRIS PIN]],CECPINDATA[CECRIS PIN],CECPINDATA[DISCOUNT RATE])</f>
        <v>N</v>
      </c>
      <c r="I39" s="100">
        <f>IF(COSTCALC[[#This Row],[Apply Federal Discount Rate]]="Y",COSTCALC[[#This Row],[Total Program Cost]]*$H$4,COSTCALC[[#This Row],[Total Program Cost]])</f>
        <v>0</v>
      </c>
      <c r="J39" s="100">
        <f>COSTCALC[[#This Row],[Total Program Cost]]-COSTCALC[[#This Row],[Federal Cost]]</f>
        <v>0</v>
      </c>
      <c r="K39" s="100">
        <f>IFERROR(_xlfn.XLOOKUP(COSTCALC[[#This Row],[Residual of PIN]],COSTCALC[CECRIS PIN],COSTCALC[Non Fed Cost]),0)</f>
        <v>0</v>
      </c>
      <c r="L39" s="97" t="str">
        <f>_xlfn.XLOOKUP(COSTCALC[[#This Row],[CECRIS PIN]],CECPINDATA[CECRIS PIN],CECPINDATA[Non Fed Residual Of])</f>
        <v/>
      </c>
      <c r="M39" s="102">
        <f>IF(COSTCALC[[#This Row],[CECRIS PIN]]="Prob Only",0,COSTCALC[[#This Row],[Federal Cost]]+COSTCALC[[#This Row],[NonFed Cost Claimed]])</f>
        <v>0</v>
      </c>
    </row>
    <row r="40" spans="1:13" x14ac:dyDescent="0.25">
      <c r="A40" s="20" t="s">
        <v>125</v>
      </c>
      <c r="B40" s="21" t="str">
        <f>_xlfn.XLOOKUP(COSTCALC[[#This Row],[CECRIS PIN]],CECPINDATA[CECRIS PIN],CECPINDATA[Program Name])</f>
        <v>PROB FAM FIND DIR EXPEND OR PUBLIC 3RD PARTY IN KIND MATCH</v>
      </c>
      <c r="C40" s="99">
        <f>IFERROR(_xlfn.XLOOKUP(COSTCALC[[#This Row],[CECRIS PIN]],TIMESTUDYSUMM[CECRIS PIN],TIMESTUDYSUMM[Allocable Hours %]),0)</f>
        <v>0</v>
      </c>
      <c r="D40" s="94">
        <f>$C$4*COSTCALC[[#This Row],[Allocable Hours (%)]]</f>
        <v>0</v>
      </c>
      <c r="E40" s="94">
        <f>$E$4*COSTCALC[[#This Row],[Payroll Cost]]</f>
        <v>0</v>
      </c>
      <c r="F40" s="94">
        <f>IFERROR(_xlfn.XLOOKUP(COSTCALC[[#This Row],[CECRIS PIN]],COSTSUMM[CECRIS PIN],COSTSUMM[Cost]),0)</f>
        <v>0</v>
      </c>
      <c r="G40" s="94">
        <f>COSTCALC[[#This Row],[Non Payroll Cost]]+COSTCALC[[#This Row],[Indirect Cost]]+COSTCALC[[#This Row],[Payroll Cost]]</f>
        <v>0</v>
      </c>
      <c r="H40" s="97" t="str">
        <f>_xlfn.XLOOKUP(COSTCALC[[#This Row],[CECRIS PIN]],CECPINDATA[CECRIS PIN],CECPINDATA[DISCOUNT RATE])</f>
        <v>Y</v>
      </c>
      <c r="I40" s="100">
        <f>IF(COSTCALC[[#This Row],[Apply Federal Discount Rate]]="Y",COSTCALC[[#This Row],[Total Program Cost]]*$H$4,COSTCALC[[#This Row],[Total Program Cost]])</f>
        <v>0</v>
      </c>
      <c r="J40" s="100">
        <f>COSTCALC[[#This Row],[Total Program Cost]]-COSTCALC[[#This Row],[Federal Cost]]</f>
        <v>0</v>
      </c>
      <c r="K40" s="100">
        <f>IFERROR(_xlfn.XLOOKUP(COSTCALC[[#This Row],[Residual of PIN]],COSTCALC[CECRIS PIN],COSTCALC[Non Fed Cost]),0)</f>
        <v>0</v>
      </c>
      <c r="L40" s="97" t="str">
        <f>_xlfn.XLOOKUP(COSTCALC[[#This Row],[CECRIS PIN]],CECPINDATA[CECRIS PIN],CECPINDATA[Non Fed Residual Of])</f>
        <v/>
      </c>
      <c r="M40" s="102">
        <f>IF(COSTCALC[[#This Row],[CECRIS PIN]]="Prob Only",0,COSTCALC[[#This Row],[Federal Cost]]+COSTCALC[[#This Row],[NonFed Cost Claimed]])</f>
        <v>0</v>
      </c>
    </row>
    <row r="41" spans="1:13" x14ac:dyDescent="0.25">
      <c r="A41" s="20" t="s">
        <v>127</v>
      </c>
      <c r="B41" s="21" t="str">
        <f>_xlfn.XLOOKUP(COSTCALC[[#This Row],[CECRIS PIN]],CECPINDATA[CECRIS PIN],CECPINDATA[Program Name])</f>
        <v>PROB FAM FIND INTERNAL PROB OR PRIVATE 3RD PARTY IN KIND MATCH</v>
      </c>
      <c r="C41" s="99">
        <f>IFERROR(_xlfn.XLOOKUP(COSTCALC[[#This Row],[CECRIS PIN]],TIMESTUDYSUMM[CECRIS PIN],TIMESTUDYSUMM[Allocable Hours %]),0)</f>
        <v>0</v>
      </c>
      <c r="D41" s="94">
        <f>$C$4*COSTCALC[[#This Row],[Allocable Hours (%)]]</f>
        <v>0</v>
      </c>
      <c r="E41" s="94">
        <f>$E$4*COSTCALC[[#This Row],[Payroll Cost]]</f>
        <v>0</v>
      </c>
      <c r="F41" s="94">
        <f>IFERROR(_xlfn.XLOOKUP(COSTCALC[[#This Row],[CECRIS PIN]],COSTSUMM[CECRIS PIN],COSTSUMM[Cost]),0)</f>
        <v>0</v>
      </c>
      <c r="G41" s="94">
        <f>COSTCALC[[#This Row],[Non Payroll Cost]]+COSTCALC[[#This Row],[Indirect Cost]]+COSTCALC[[#This Row],[Payroll Cost]]</f>
        <v>0</v>
      </c>
      <c r="H41" s="97" t="str">
        <f>_xlfn.XLOOKUP(COSTCALC[[#This Row],[CECRIS PIN]],CECPINDATA[CECRIS PIN],CECPINDATA[DISCOUNT RATE])</f>
        <v>Y</v>
      </c>
      <c r="I41" s="100">
        <f>IF(COSTCALC[[#This Row],[Apply Federal Discount Rate]]="Y",COSTCALC[[#This Row],[Total Program Cost]]*$H$4,COSTCALC[[#This Row],[Total Program Cost]])</f>
        <v>0</v>
      </c>
      <c r="J41" s="100">
        <f>COSTCALC[[#This Row],[Total Program Cost]]-COSTCALC[[#This Row],[Federal Cost]]</f>
        <v>0</v>
      </c>
      <c r="K41" s="100">
        <f>IFERROR(_xlfn.XLOOKUP(COSTCALC[[#This Row],[Residual of PIN]],COSTCALC[CECRIS PIN],COSTCALC[Non Fed Cost]),0)</f>
        <v>0</v>
      </c>
      <c r="L41" s="97" t="str">
        <f>_xlfn.XLOOKUP(COSTCALC[[#This Row],[CECRIS PIN]],CECPINDATA[CECRIS PIN],CECPINDATA[Non Fed Residual Of])</f>
        <v/>
      </c>
      <c r="M41" s="102">
        <f>IF(COSTCALC[[#This Row],[CECRIS PIN]]="Prob Only",0,COSTCALC[[#This Row],[Federal Cost]]+COSTCALC[[#This Row],[NonFed Cost Claimed]])</f>
        <v>0</v>
      </c>
    </row>
    <row r="42" spans="1:13" x14ac:dyDescent="0.25">
      <c r="A42" s="20" t="s">
        <v>126</v>
      </c>
      <c r="B42" s="21" t="str">
        <f>_xlfn.XLOOKUP(COSTCALC[[#This Row],[CECRIS PIN]],CECPINDATA[CECRIS PIN],CECPINDATA[Program Name])</f>
        <v>PROB FAM FIND DIR EXPEND OR PUBLIC 3RD PARTY IN KIND MATCH NON FED</v>
      </c>
      <c r="C42" s="99">
        <f>IFERROR(_xlfn.XLOOKUP(COSTCALC[[#This Row],[CECRIS PIN]],TIMESTUDYSUMM[CECRIS PIN],TIMESTUDYSUMM[Allocable Hours %]),0)</f>
        <v>0</v>
      </c>
      <c r="D42" s="94">
        <f>$C$4*COSTCALC[[#This Row],[Allocable Hours (%)]]</f>
        <v>0</v>
      </c>
      <c r="E42" s="94">
        <f>$E$4*COSTCALC[[#This Row],[Payroll Cost]]</f>
        <v>0</v>
      </c>
      <c r="F42" s="94">
        <f>IFERROR(_xlfn.XLOOKUP(COSTCALC[[#This Row],[CECRIS PIN]],COSTSUMM[CECRIS PIN],COSTSUMM[Cost]),0)</f>
        <v>0</v>
      </c>
      <c r="G42" s="94">
        <f>COSTCALC[[#This Row],[Non Payroll Cost]]+COSTCALC[[#This Row],[Indirect Cost]]+COSTCALC[[#This Row],[Payroll Cost]]</f>
        <v>0</v>
      </c>
      <c r="H42" s="97" t="str">
        <f>_xlfn.XLOOKUP(COSTCALC[[#This Row],[CECRIS PIN]],CECPINDATA[CECRIS PIN],CECPINDATA[DISCOUNT RATE])</f>
        <v>N</v>
      </c>
      <c r="I42" s="100">
        <f>IF(COSTCALC[[#This Row],[Apply Federal Discount Rate]]="Y",COSTCALC[[#This Row],[Total Program Cost]]*$H$4,COSTCALC[[#This Row],[Total Program Cost]])</f>
        <v>0</v>
      </c>
      <c r="J42" s="100">
        <f>COSTCALC[[#This Row],[Total Program Cost]]-COSTCALC[[#This Row],[Federal Cost]]</f>
        <v>0</v>
      </c>
      <c r="K42" s="100">
        <f>IFERROR(_xlfn.XLOOKUP(COSTCALC[[#This Row],[Residual of PIN]],COSTCALC[CECRIS PIN],COSTCALC[Non Fed Cost]),0)</f>
        <v>0</v>
      </c>
      <c r="L42" s="97" t="str">
        <f>_xlfn.XLOOKUP(COSTCALC[[#This Row],[CECRIS PIN]],CECPINDATA[CECRIS PIN],CECPINDATA[Non Fed Residual Of])</f>
        <v>10880059</v>
      </c>
      <c r="M42" s="102">
        <f>IF(COSTCALC[[#This Row],[CECRIS PIN]]="Prob Only",0,COSTCALC[[#This Row],[Federal Cost]]+COSTCALC[[#This Row],[NonFed Cost Claimed]])</f>
        <v>0</v>
      </c>
    </row>
    <row r="43" spans="1:13" x14ac:dyDescent="0.25">
      <c r="A43" s="20" t="s">
        <v>128</v>
      </c>
      <c r="B43" s="21" t="str">
        <f>_xlfn.XLOOKUP(COSTCALC[[#This Row],[CECRIS PIN]],CECPINDATA[CECRIS PIN],CECPINDATA[Program Name])</f>
        <v>PROB FAM FIND INTERNAL PROB OR PRIVATE 3RD PARTY IN KIND MATCH NON FED</v>
      </c>
      <c r="C43" s="99">
        <f>IFERROR(_xlfn.XLOOKUP(COSTCALC[[#This Row],[CECRIS PIN]],TIMESTUDYSUMM[CECRIS PIN],TIMESTUDYSUMM[Allocable Hours %]),0)</f>
        <v>0</v>
      </c>
      <c r="D43" s="94">
        <f>$C$4*COSTCALC[[#This Row],[Allocable Hours (%)]]</f>
        <v>0</v>
      </c>
      <c r="E43" s="94">
        <f>$E$4*COSTCALC[[#This Row],[Payroll Cost]]</f>
        <v>0</v>
      </c>
      <c r="F43" s="94">
        <f>IFERROR(_xlfn.XLOOKUP(COSTCALC[[#This Row],[CECRIS PIN]],COSTSUMM[CECRIS PIN],COSTSUMM[Cost]),0)</f>
        <v>0</v>
      </c>
      <c r="G43" s="94">
        <f>COSTCALC[[#This Row],[Non Payroll Cost]]+COSTCALC[[#This Row],[Indirect Cost]]+COSTCALC[[#This Row],[Payroll Cost]]</f>
        <v>0</v>
      </c>
      <c r="H43" s="97" t="str">
        <f>_xlfn.XLOOKUP(COSTCALC[[#This Row],[CECRIS PIN]],CECPINDATA[CECRIS PIN],CECPINDATA[DISCOUNT RATE])</f>
        <v>N</v>
      </c>
      <c r="I43" s="100">
        <f>IF(COSTCALC[[#This Row],[Apply Federal Discount Rate]]="Y",COSTCALC[[#This Row],[Total Program Cost]]*$H$4,COSTCALC[[#This Row],[Total Program Cost]])</f>
        <v>0</v>
      </c>
      <c r="J43" s="100">
        <f>COSTCALC[[#This Row],[Total Program Cost]]-COSTCALC[[#This Row],[Federal Cost]]</f>
        <v>0</v>
      </c>
      <c r="K43" s="100">
        <f>IFERROR(_xlfn.XLOOKUP(COSTCALC[[#This Row],[Residual of PIN]],COSTCALC[CECRIS PIN],COSTCALC[Non Fed Cost]),0)</f>
        <v>0</v>
      </c>
      <c r="L43" s="97" t="str">
        <f>_xlfn.XLOOKUP(COSTCALC[[#This Row],[CECRIS PIN]],CECPINDATA[CECRIS PIN],CECPINDATA[Non Fed Residual Of])</f>
        <v>10890059</v>
      </c>
      <c r="M43" s="102">
        <f>IF(COSTCALC[[#This Row],[CECRIS PIN]]="Prob Only",0,COSTCALC[[#This Row],[Federal Cost]]+COSTCALC[[#This Row],[NonFed Cost Claimed]])</f>
        <v>0</v>
      </c>
    </row>
    <row r="44" spans="1:13" x14ac:dyDescent="0.25">
      <c r="A44" s="20" t="s">
        <v>129</v>
      </c>
      <c r="B44" s="21" t="str">
        <f>_xlfn.XLOOKUP(COSTCALC[[#This Row],[CECRIS PIN]],CECPINDATA[CECRIS PIN],CECPINDATA[Program Name])</f>
        <v>PROB FAM FIND TRAINING DIR EXPEND OR PUBLIC 3RD PARTY IN KIND MATCH</v>
      </c>
      <c r="C44" s="99">
        <f>IFERROR(_xlfn.XLOOKUP(COSTCALC[[#This Row],[CECRIS PIN]],TIMESTUDYSUMM[CECRIS PIN],TIMESTUDYSUMM[Allocable Hours %]),0)</f>
        <v>0</v>
      </c>
      <c r="D44" s="94">
        <f>$C$4*COSTCALC[[#This Row],[Allocable Hours (%)]]</f>
        <v>0</v>
      </c>
      <c r="E44" s="94">
        <f>$E$4*COSTCALC[[#This Row],[Payroll Cost]]</f>
        <v>0</v>
      </c>
      <c r="F44" s="94">
        <f>IFERROR(_xlfn.XLOOKUP(COSTCALC[[#This Row],[CECRIS PIN]],COSTSUMM[CECRIS PIN],COSTSUMM[Cost]),0)</f>
        <v>0</v>
      </c>
      <c r="G44" s="94">
        <f>COSTCALC[[#This Row],[Non Payroll Cost]]+COSTCALC[[#This Row],[Indirect Cost]]+COSTCALC[[#This Row],[Payroll Cost]]</f>
        <v>0</v>
      </c>
      <c r="H44" s="97" t="str">
        <f>_xlfn.XLOOKUP(COSTCALC[[#This Row],[CECRIS PIN]],CECPINDATA[CECRIS PIN],CECPINDATA[DISCOUNT RATE])</f>
        <v>Y</v>
      </c>
      <c r="I44" s="100">
        <f>IF(COSTCALC[[#This Row],[Apply Federal Discount Rate]]="Y",COSTCALC[[#This Row],[Total Program Cost]]*$H$4,COSTCALC[[#This Row],[Total Program Cost]])</f>
        <v>0</v>
      </c>
      <c r="J44" s="100">
        <f>COSTCALC[[#This Row],[Total Program Cost]]-COSTCALC[[#This Row],[Federal Cost]]</f>
        <v>0</v>
      </c>
      <c r="K44" s="100">
        <f>IFERROR(_xlfn.XLOOKUP(COSTCALC[[#This Row],[Residual of PIN]],COSTCALC[CECRIS PIN],COSTCALC[Non Fed Cost]),0)</f>
        <v>0</v>
      </c>
      <c r="L44" s="97" t="str">
        <f>_xlfn.XLOOKUP(COSTCALC[[#This Row],[CECRIS PIN]],CECPINDATA[CECRIS PIN],CECPINDATA[Non Fed Residual Of])</f>
        <v/>
      </c>
      <c r="M44" s="102">
        <f>IF(COSTCALC[[#This Row],[CECRIS PIN]]="Prob Only",0,COSTCALC[[#This Row],[Federal Cost]]+COSTCALC[[#This Row],[NonFed Cost Claimed]])</f>
        <v>0</v>
      </c>
    </row>
    <row r="45" spans="1:13" x14ac:dyDescent="0.25">
      <c r="A45" s="20" t="s">
        <v>130</v>
      </c>
      <c r="B45" s="21" t="str">
        <f>_xlfn.XLOOKUP(COSTCALC[[#This Row],[CECRIS PIN]],CECPINDATA[CECRIS PIN],CECPINDATA[Program Name])</f>
        <v>PROB FAM FIND TRAINING INTERNAL PROB OR PRIVATE 3RD PARTY IN KIND MATCH</v>
      </c>
      <c r="C45" s="99">
        <f>IFERROR(_xlfn.XLOOKUP(COSTCALC[[#This Row],[CECRIS PIN]],TIMESTUDYSUMM[CECRIS PIN],TIMESTUDYSUMM[Allocable Hours %]),0)</f>
        <v>0</v>
      </c>
      <c r="D45" s="94">
        <f>$C$4*COSTCALC[[#This Row],[Allocable Hours (%)]]</f>
        <v>0</v>
      </c>
      <c r="E45" s="94">
        <f>$E$4*COSTCALC[[#This Row],[Payroll Cost]]</f>
        <v>0</v>
      </c>
      <c r="F45" s="94">
        <f>IFERROR(_xlfn.XLOOKUP(COSTCALC[[#This Row],[CECRIS PIN]],COSTSUMM[CECRIS PIN],COSTSUMM[Cost]),0)</f>
        <v>0</v>
      </c>
      <c r="G45" s="94">
        <f>COSTCALC[[#This Row],[Non Payroll Cost]]+COSTCALC[[#This Row],[Indirect Cost]]+COSTCALC[[#This Row],[Payroll Cost]]</f>
        <v>0</v>
      </c>
      <c r="H45" s="97" t="str">
        <f>_xlfn.XLOOKUP(COSTCALC[[#This Row],[CECRIS PIN]],CECPINDATA[CECRIS PIN],CECPINDATA[DISCOUNT RATE])</f>
        <v>Y</v>
      </c>
      <c r="I45" s="100">
        <f>IF(COSTCALC[[#This Row],[Apply Federal Discount Rate]]="Y",COSTCALC[[#This Row],[Total Program Cost]]*$H$4,COSTCALC[[#This Row],[Total Program Cost]])</f>
        <v>0</v>
      </c>
      <c r="J45" s="100">
        <f>COSTCALC[[#This Row],[Total Program Cost]]-COSTCALC[[#This Row],[Federal Cost]]</f>
        <v>0</v>
      </c>
      <c r="K45" s="100">
        <f>IFERROR(_xlfn.XLOOKUP(COSTCALC[[#This Row],[Residual of PIN]],COSTCALC[CECRIS PIN],COSTCALC[Non Fed Cost]),0)</f>
        <v>0</v>
      </c>
      <c r="L45" s="97" t="str">
        <f>_xlfn.XLOOKUP(COSTCALC[[#This Row],[CECRIS PIN]],CECPINDATA[CECRIS PIN],CECPINDATA[Non Fed Residual Of])</f>
        <v/>
      </c>
      <c r="M45" s="102">
        <f>IF(COSTCALC[[#This Row],[CECRIS PIN]]="Prob Only",0,COSTCALC[[#This Row],[Federal Cost]]+COSTCALC[[#This Row],[NonFed Cost Claimed]])</f>
        <v>0</v>
      </c>
    </row>
    <row r="46" spans="1:13" x14ac:dyDescent="0.25">
      <c r="A46" s="20" t="s">
        <v>62</v>
      </c>
      <c r="B46" s="21" t="str">
        <f>_xlfn.XLOOKUP(COSTCALC[[#This Row],[CECRIS PIN]],CECPINDATA[CECRIS PIN],CECPINDATA[Program Name])</f>
        <v>PROB ONLY</v>
      </c>
      <c r="C46" s="99">
        <f>IFERROR(_xlfn.XLOOKUP(COSTCALC[[#This Row],[CECRIS PIN]],TIMESTUDYSUMM[CECRIS PIN],TIMESTUDYSUMM[Allocable Hours %]),0)</f>
        <v>0.8282259400364419</v>
      </c>
      <c r="D46" s="94">
        <f>$C$4*COSTCALC[[#This Row],[Allocable Hours (%)]]</f>
        <v>1490806.6920655954</v>
      </c>
      <c r="E46" s="94">
        <f>$E$4*COSTCALC[[#This Row],[Payroll Cost]]</f>
        <v>871042.77318532718</v>
      </c>
      <c r="F46" s="94">
        <f>IFERROR(_xlfn.XLOOKUP(COSTCALC[[#This Row],[CECRIS PIN]],COSTSUMM[CECRIS PIN],COSTSUMM[Cost]),0)</f>
        <v>0</v>
      </c>
      <c r="G46" s="94">
        <f>COSTCALC[[#This Row],[Non Payroll Cost]]+COSTCALC[[#This Row],[Indirect Cost]]+COSTCALC[[#This Row],[Payroll Cost]]</f>
        <v>2361849.4652509224</v>
      </c>
      <c r="H46" s="97" t="str">
        <f>_xlfn.XLOOKUP(COSTCALC[[#This Row],[CECRIS PIN]],CECPINDATA[CECRIS PIN],CECPINDATA[DISCOUNT RATE])</f>
        <v>N</v>
      </c>
      <c r="I46" s="100">
        <f>IF(COSTCALC[[#This Row],[Apply Federal Discount Rate]]="Y",COSTCALC[[#This Row],[Total Program Cost]]*$H$4,COSTCALC[[#This Row],[Total Program Cost]])</f>
        <v>2361849.4652509224</v>
      </c>
      <c r="J46" s="100">
        <f>COSTCALC[[#This Row],[Total Program Cost]]-COSTCALC[[#This Row],[Federal Cost]]</f>
        <v>0</v>
      </c>
      <c r="K46" s="100">
        <f>IFERROR(_xlfn.XLOOKUP(COSTCALC[[#This Row],[Residual of PIN]],COSTCALC[CECRIS PIN],COSTCALC[Non Fed Cost]),0)</f>
        <v>0</v>
      </c>
      <c r="L46" s="97">
        <f>_xlfn.XLOOKUP(COSTCALC[[#This Row],[CECRIS PIN]],CECPINDATA[CECRIS PIN],CECPINDATA[Non Fed Residual Of])</f>
        <v>0</v>
      </c>
      <c r="M46" s="102">
        <f>IF(COSTCALC[[#This Row],[CECRIS PIN]]="Prob Only",0,COSTCALC[[#This Row],[Federal Cost]]+COSTCALC[[#This Row],[NonFed Cost Claimed]])</f>
        <v>0</v>
      </c>
    </row>
    <row r="47" spans="1:13" x14ac:dyDescent="0.25">
      <c r="A47" s="57" t="s">
        <v>66</v>
      </c>
      <c r="B47" s="52"/>
      <c r="C47" s="103">
        <f>SUBTOTAL(109,COSTCALC[Allocable Hours (%)])</f>
        <v>1</v>
      </c>
      <c r="D47" s="101">
        <f>SUBTOTAL(109,COSTCALC[Payroll Cost])</f>
        <v>1800000</v>
      </c>
      <c r="E47" s="101">
        <f>SUBTOTAL(109,COSTCALC[Indirect Cost])</f>
        <v>1051697.044343964</v>
      </c>
      <c r="F47" s="101">
        <f>SUBTOTAL(109,COSTCALC[Non Payroll Cost])</f>
        <v>10600</v>
      </c>
      <c r="G47" s="104">
        <f>SUBTOTAL(109,COSTCALC[Total Program Cost])</f>
        <v>2862297.0443439637</v>
      </c>
      <c r="H47" s="91"/>
      <c r="I47" s="101">
        <f>SUBTOTAL(109,COSTCALC[Federal Cost])</f>
        <v>2693997.507022812</v>
      </c>
      <c r="J47" s="101">
        <f>SUBTOTAL(109,COSTCALC[Non Fed Cost])</f>
        <v>168299.53732115187</v>
      </c>
      <c r="K47" s="101">
        <f>SUBTOTAL(109,COSTCALC[NonFed Cost Claimed])</f>
        <v>148364.63600007602</v>
      </c>
      <c r="L47" s="101"/>
      <c r="M47" s="101">
        <f>SUBTOTAL(109,COSTCALC[Claimable Cost])</f>
        <v>480512.67777196551</v>
      </c>
    </row>
    <row r="48" spans="1:13" x14ac:dyDescent="0.25">
      <c r="B48" s="52"/>
    </row>
    <row r="49" spans="1:2" x14ac:dyDescent="0.25">
      <c r="B49" s="52"/>
    </row>
    <row r="50" spans="1:2" x14ac:dyDescent="0.25">
      <c r="B50" s="52"/>
    </row>
    <row r="51" spans="1:2" x14ac:dyDescent="0.25">
      <c r="B51" s="52"/>
    </row>
    <row r="52" spans="1:2" x14ac:dyDescent="0.25">
      <c r="B52" s="52"/>
    </row>
    <row r="53" spans="1:2" x14ac:dyDescent="0.25">
      <c r="B53" s="52"/>
    </row>
    <row r="54" spans="1:2" x14ac:dyDescent="0.25">
      <c r="B54" s="52"/>
    </row>
    <row r="55" spans="1:2" x14ac:dyDescent="0.25">
      <c r="B55" s="52"/>
    </row>
    <row r="56" spans="1:2" x14ac:dyDescent="0.25">
      <c r="B56" s="52"/>
    </row>
    <row r="57" spans="1:2" x14ac:dyDescent="0.25">
      <c r="B57" s="52"/>
    </row>
    <row r="58" spans="1:2" x14ac:dyDescent="0.25">
      <c r="B58" s="52"/>
    </row>
    <row r="59" spans="1:2" x14ac:dyDescent="0.25">
      <c r="B59" s="52"/>
    </row>
    <row r="60" spans="1:2" x14ac:dyDescent="0.25">
      <c r="B60" s="52"/>
    </row>
    <row r="61" spans="1:2" x14ac:dyDescent="0.25">
      <c r="B61" s="52"/>
    </row>
    <row r="62" spans="1:2" x14ac:dyDescent="0.25">
      <c r="A62" s="52"/>
      <c r="B62" s="52"/>
    </row>
    <row r="63" spans="1:2" x14ac:dyDescent="0.25">
      <c r="A63" s="52"/>
      <c r="B63" s="52"/>
    </row>
    <row r="64" spans="1:2" x14ac:dyDescent="0.25">
      <c r="A64" s="52"/>
      <c r="B64" s="52"/>
    </row>
    <row r="65" spans="1:2" x14ac:dyDescent="0.25">
      <c r="A65" s="52"/>
      <c r="B65" s="52"/>
    </row>
    <row r="66" spans="1:2" x14ac:dyDescent="0.25">
      <c r="A66" s="52"/>
      <c r="B66" s="52"/>
    </row>
    <row r="67" spans="1:2" x14ac:dyDescent="0.25">
      <c r="B67" s="52"/>
    </row>
    <row r="68" spans="1:2" x14ac:dyDescent="0.25">
      <c r="B68" s="52"/>
    </row>
    <row r="69" spans="1:2" x14ac:dyDescent="0.25">
      <c r="B69" s="52"/>
    </row>
    <row r="70" spans="1:2" x14ac:dyDescent="0.25">
      <c r="B70" s="52"/>
    </row>
    <row r="71" spans="1:2" x14ac:dyDescent="0.25">
      <c r="B71" s="52"/>
    </row>
    <row r="72" spans="1:2" x14ac:dyDescent="0.25">
      <c r="B72" s="52"/>
    </row>
    <row r="73" spans="1:2" x14ac:dyDescent="0.25">
      <c r="B73" s="52"/>
    </row>
    <row r="74" spans="1:2" x14ac:dyDescent="0.25">
      <c r="B74" s="52"/>
    </row>
    <row r="75" spans="1:2" x14ac:dyDescent="0.25">
      <c r="B75" s="52"/>
    </row>
    <row r="76" spans="1:2" x14ac:dyDescent="0.25">
      <c r="B76" s="52"/>
    </row>
    <row r="77" spans="1:2" x14ac:dyDescent="0.25">
      <c r="B77" s="52"/>
    </row>
    <row r="78" spans="1:2" x14ac:dyDescent="0.25">
      <c r="B78" s="52"/>
    </row>
    <row r="79" spans="1:2" x14ac:dyDescent="0.25">
      <c r="B79" s="52"/>
    </row>
    <row r="80" spans="1:2" x14ac:dyDescent="0.25">
      <c r="B80" s="52"/>
    </row>
    <row r="81" spans="2:2" x14ac:dyDescent="0.25">
      <c r="B81" s="52"/>
    </row>
    <row r="82" spans="2:2" x14ac:dyDescent="0.25">
      <c r="B82" s="52"/>
    </row>
    <row r="83" spans="2:2" x14ac:dyDescent="0.25">
      <c r="B83" s="52"/>
    </row>
    <row r="84" spans="2:2" x14ac:dyDescent="0.25">
      <c r="B84" s="52"/>
    </row>
    <row r="85" spans="2:2" x14ac:dyDescent="0.25">
      <c r="B85" s="52"/>
    </row>
    <row r="86" spans="2:2" x14ac:dyDescent="0.25">
      <c r="B86" s="52"/>
    </row>
    <row r="87" spans="2:2" x14ac:dyDescent="0.25">
      <c r="B87" s="52"/>
    </row>
    <row r="88" spans="2:2" x14ac:dyDescent="0.25">
      <c r="B88" s="52"/>
    </row>
    <row r="89" spans="2:2" x14ac:dyDescent="0.25">
      <c r="B89" s="52"/>
    </row>
    <row r="90" spans="2:2" x14ac:dyDescent="0.25">
      <c r="B90" s="52"/>
    </row>
    <row r="91" spans="2:2" x14ac:dyDescent="0.25">
      <c r="B91" s="52"/>
    </row>
    <row r="92" spans="2:2" x14ac:dyDescent="0.25">
      <c r="B92" s="52"/>
    </row>
    <row r="93" spans="2:2" x14ac:dyDescent="0.25">
      <c r="B93" s="52"/>
    </row>
    <row r="94" spans="2:2" x14ac:dyDescent="0.25">
      <c r="B94" s="52"/>
    </row>
    <row r="95" spans="2:2" x14ac:dyDescent="0.25">
      <c r="B95" s="52"/>
    </row>
    <row r="96" spans="2:2" x14ac:dyDescent="0.25">
      <c r="B96" s="52"/>
    </row>
    <row r="97" spans="2:2" x14ac:dyDescent="0.25">
      <c r="B97" s="52"/>
    </row>
    <row r="98" spans="2:2" x14ac:dyDescent="0.25">
      <c r="B98" s="52"/>
    </row>
    <row r="99" spans="2:2" x14ac:dyDescent="0.25">
      <c r="B99" s="52"/>
    </row>
    <row r="100" spans="2:2" x14ac:dyDescent="0.25">
      <c r="B100" s="52"/>
    </row>
    <row r="101" spans="2:2" x14ac:dyDescent="0.25">
      <c r="B101" s="52"/>
    </row>
    <row r="102" spans="2:2" x14ac:dyDescent="0.25">
      <c r="B102" s="52"/>
    </row>
    <row r="103" spans="2:2" x14ac:dyDescent="0.25">
      <c r="B103" s="52"/>
    </row>
    <row r="104" spans="2:2" x14ac:dyDescent="0.25">
      <c r="B104" s="52"/>
    </row>
    <row r="105" spans="2:2" x14ac:dyDescent="0.25">
      <c r="B105" s="52"/>
    </row>
    <row r="106" spans="2:2" x14ac:dyDescent="0.25">
      <c r="B106" s="52"/>
    </row>
    <row r="107" spans="2:2" x14ac:dyDescent="0.25">
      <c r="B107" s="52"/>
    </row>
    <row r="108" spans="2:2" x14ac:dyDescent="0.25">
      <c r="B108" s="52"/>
    </row>
    <row r="109" spans="2:2" x14ac:dyDescent="0.25">
      <c r="B109" s="52"/>
    </row>
    <row r="110" spans="2:2" x14ac:dyDescent="0.25">
      <c r="B110" s="52"/>
    </row>
    <row r="111" spans="2:2" x14ac:dyDescent="0.25">
      <c r="B111" s="52"/>
    </row>
    <row r="112" spans="2:2" x14ac:dyDescent="0.25">
      <c r="B112" s="52"/>
    </row>
    <row r="113" spans="2:2" x14ac:dyDescent="0.25">
      <c r="B113" s="52"/>
    </row>
    <row r="114" spans="2:2" x14ac:dyDescent="0.25">
      <c r="B114" s="52"/>
    </row>
    <row r="115" spans="2:2" x14ac:dyDescent="0.25">
      <c r="B115" s="52"/>
    </row>
    <row r="116" spans="2:2" x14ac:dyDescent="0.25">
      <c r="B116" s="52"/>
    </row>
    <row r="117" spans="2:2" x14ac:dyDescent="0.25">
      <c r="B117" s="52"/>
    </row>
    <row r="118" spans="2:2" x14ac:dyDescent="0.25">
      <c r="B118" s="52"/>
    </row>
    <row r="119" spans="2:2" x14ac:dyDescent="0.25">
      <c r="B119" s="52"/>
    </row>
    <row r="120" spans="2:2" x14ac:dyDescent="0.25">
      <c r="B120" s="52"/>
    </row>
    <row r="121" spans="2:2" x14ac:dyDescent="0.25">
      <c r="B121" s="52"/>
    </row>
    <row r="122" spans="2:2" x14ac:dyDescent="0.25">
      <c r="B122" s="52"/>
    </row>
    <row r="123" spans="2:2" x14ac:dyDescent="0.25">
      <c r="B123" s="52"/>
    </row>
    <row r="124" spans="2:2" x14ac:dyDescent="0.25">
      <c r="B124" s="52"/>
    </row>
    <row r="125" spans="2:2" x14ac:dyDescent="0.25">
      <c r="B125" s="52"/>
    </row>
    <row r="126" spans="2:2" x14ac:dyDescent="0.25">
      <c r="B126" s="52"/>
    </row>
    <row r="127" spans="2:2" x14ac:dyDescent="0.25">
      <c r="B127" s="52"/>
    </row>
    <row r="128" spans="2:2" x14ac:dyDescent="0.25">
      <c r="B128" s="52"/>
    </row>
    <row r="129" spans="2:2" x14ac:dyDescent="0.25">
      <c r="B129" s="52"/>
    </row>
    <row r="130" spans="2:2" x14ac:dyDescent="0.25">
      <c r="B130" s="52"/>
    </row>
    <row r="131" spans="2:2" x14ac:dyDescent="0.25">
      <c r="B131" s="52"/>
    </row>
    <row r="132" spans="2:2" x14ac:dyDescent="0.25">
      <c r="B132" s="52"/>
    </row>
    <row r="133" spans="2:2" x14ac:dyDescent="0.25">
      <c r="B133" s="52"/>
    </row>
    <row r="134" spans="2:2" x14ac:dyDescent="0.25">
      <c r="B134" s="52"/>
    </row>
    <row r="135" spans="2:2" x14ac:dyDescent="0.25">
      <c r="B135" s="52"/>
    </row>
    <row r="136" spans="2:2" x14ac:dyDescent="0.25">
      <c r="B136" s="52"/>
    </row>
    <row r="137" spans="2:2" x14ac:dyDescent="0.25">
      <c r="B137" s="52"/>
    </row>
    <row r="138" spans="2:2" x14ac:dyDescent="0.25">
      <c r="B138" s="52"/>
    </row>
    <row r="139" spans="2:2" x14ac:dyDescent="0.25">
      <c r="B139" s="52"/>
    </row>
    <row r="140" spans="2:2" x14ac:dyDescent="0.25">
      <c r="B140" s="52"/>
    </row>
    <row r="141" spans="2:2" x14ac:dyDescent="0.25">
      <c r="B141" s="52"/>
    </row>
    <row r="142" spans="2:2" x14ac:dyDescent="0.25">
      <c r="B142" s="52"/>
    </row>
    <row r="143" spans="2:2" x14ac:dyDescent="0.25">
      <c r="B143" s="52"/>
    </row>
    <row r="144" spans="2:2" x14ac:dyDescent="0.25">
      <c r="B144" s="52"/>
    </row>
    <row r="145" spans="2:2" x14ac:dyDescent="0.25">
      <c r="B145" s="52"/>
    </row>
    <row r="146" spans="2:2" x14ac:dyDescent="0.25">
      <c r="B146" s="52"/>
    </row>
    <row r="147" spans="2:2" x14ac:dyDescent="0.25">
      <c r="B147" s="52"/>
    </row>
    <row r="148" spans="2:2" x14ac:dyDescent="0.25">
      <c r="B148" s="52"/>
    </row>
    <row r="149" spans="2:2" x14ac:dyDescent="0.25">
      <c r="B149" s="52"/>
    </row>
    <row r="150" spans="2:2" x14ac:dyDescent="0.25">
      <c r="B150" s="52"/>
    </row>
    <row r="151" spans="2:2" x14ac:dyDescent="0.25">
      <c r="B151" s="52"/>
    </row>
    <row r="152" spans="2:2" x14ac:dyDescent="0.25">
      <c r="B152" s="52"/>
    </row>
    <row r="153" spans="2:2" x14ac:dyDescent="0.25">
      <c r="B153" s="52"/>
    </row>
    <row r="154" spans="2:2" x14ac:dyDescent="0.25">
      <c r="B154" s="52"/>
    </row>
    <row r="155" spans="2:2" x14ac:dyDescent="0.25">
      <c r="B155" s="52"/>
    </row>
    <row r="156" spans="2:2" x14ac:dyDescent="0.25">
      <c r="B156" s="52"/>
    </row>
    <row r="157" spans="2:2" x14ac:dyDescent="0.25">
      <c r="B157" s="52"/>
    </row>
    <row r="158" spans="2:2" x14ac:dyDescent="0.25">
      <c r="B158" s="52"/>
    </row>
    <row r="159" spans="2:2" x14ac:dyDescent="0.25">
      <c r="B159" s="52"/>
    </row>
    <row r="160" spans="2:2" x14ac:dyDescent="0.25">
      <c r="B160" s="52"/>
    </row>
    <row r="161" spans="2:2" x14ac:dyDescent="0.25">
      <c r="B161" s="52"/>
    </row>
    <row r="162" spans="2:2" x14ac:dyDescent="0.25">
      <c r="B162" s="52"/>
    </row>
    <row r="163" spans="2:2" x14ac:dyDescent="0.25">
      <c r="B163" s="52"/>
    </row>
    <row r="164" spans="2:2" x14ac:dyDescent="0.25">
      <c r="B164" s="52"/>
    </row>
    <row r="165" spans="2:2" x14ac:dyDescent="0.25">
      <c r="B165" s="52"/>
    </row>
    <row r="166" spans="2:2" x14ac:dyDescent="0.25">
      <c r="B166" s="52"/>
    </row>
    <row r="167" spans="2:2" x14ac:dyDescent="0.25">
      <c r="B167" s="52"/>
    </row>
    <row r="168" spans="2:2" x14ac:dyDescent="0.25">
      <c r="B168" s="52"/>
    </row>
    <row r="169" spans="2:2" x14ac:dyDescent="0.25">
      <c r="B169" s="52"/>
    </row>
    <row r="170" spans="2:2" x14ac:dyDescent="0.25">
      <c r="B170" s="52"/>
    </row>
    <row r="171" spans="2:2" x14ac:dyDescent="0.25">
      <c r="B171" s="52"/>
    </row>
    <row r="172" spans="2:2" x14ac:dyDescent="0.25">
      <c r="B172" s="52"/>
    </row>
    <row r="173" spans="2:2" x14ac:dyDescent="0.25">
      <c r="B173" s="52"/>
    </row>
    <row r="174" spans="2:2" x14ac:dyDescent="0.25">
      <c r="B174" s="52"/>
    </row>
    <row r="175" spans="2:2" x14ac:dyDescent="0.25">
      <c r="B175" s="52"/>
    </row>
    <row r="176" spans="2:2" x14ac:dyDescent="0.25">
      <c r="B176" s="52"/>
    </row>
    <row r="177" spans="2:2" x14ac:dyDescent="0.25">
      <c r="B177" s="52"/>
    </row>
    <row r="178" spans="2:2" x14ac:dyDescent="0.25">
      <c r="B178" s="52"/>
    </row>
    <row r="179" spans="2:2" x14ac:dyDescent="0.25">
      <c r="B179" s="52"/>
    </row>
    <row r="180" spans="2:2" x14ac:dyDescent="0.25">
      <c r="B180" s="52"/>
    </row>
    <row r="181" spans="2:2" x14ac:dyDescent="0.25">
      <c r="B181" s="52"/>
    </row>
    <row r="182" spans="2:2" x14ac:dyDescent="0.25">
      <c r="B182" s="52"/>
    </row>
    <row r="183" spans="2:2" x14ac:dyDescent="0.25">
      <c r="B183" s="52"/>
    </row>
    <row r="184" spans="2:2" x14ac:dyDescent="0.25">
      <c r="B184" s="52"/>
    </row>
    <row r="185" spans="2:2" x14ac:dyDescent="0.25">
      <c r="B185" s="52"/>
    </row>
    <row r="186" spans="2:2" x14ac:dyDescent="0.25">
      <c r="B186" s="52"/>
    </row>
    <row r="187" spans="2:2" x14ac:dyDescent="0.25">
      <c r="B187" s="52"/>
    </row>
    <row r="188" spans="2:2" x14ac:dyDescent="0.25">
      <c r="B188" s="52"/>
    </row>
    <row r="189" spans="2:2" x14ac:dyDescent="0.25">
      <c r="B189" s="52"/>
    </row>
    <row r="190" spans="2:2" x14ac:dyDescent="0.25">
      <c r="B190" s="52"/>
    </row>
    <row r="191" spans="2:2" x14ac:dyDescent="0.25">
      <c r="B191" s="52"/>
    </row>
    <row r="192" spans="2:2" x14ac:dyDescent="0.25">
      <c r="B192" s="52"/>
    </row>
    <row r="193" spans="2:2" x14ac:dyDescent="0.25">
      <c r="B193" s="52"/>
    </row>
    <row r="194" spans="2:2" x14ac:dyDescent="0.25">
      <c r="B194" s="52"/>
    </row>
    <row r="195" spans="2:2" x14ac:dyDescent="0.25">
      <c r="B195" s="52"/>
    </row>
    <row r="196" spans="2:2" x14ac:dyDescent="0.25">
      <c r="B196" s="52"/>
    </row>
    <row r="197" spans="2:2" x14ac:dyDescent="0.25">
      <c r="B197" s="52"/>
    </row>
    <row r="198" spans="2:2" x14ac:dyDescent="0.25">
      <c r="B198" s="52"/>
    </row>
    <row r="199" spans="2:2" x14ac:dyDescent="0.25">
      <c r="B199" s="52"/>
    </row>
    <row r="200" spans="2:2" x14ac:dyDescent="0.25">
      <c r="B200" s="52"/>
    </row>
    <row r="201" spans="2:2" x14ac:dyDescent="0.25">
      <c r="B201" s="52"/>
    </row>
    <row r="202" spans="2:2" x14ac:dyDescent="0.25">
      <c r="B202" s="52"/>
    </row>
    <row r="203" spans="2:2" x14ac:dyDescent="0.25">
      <c r="B203" s="52"/>
    </row>
    <row r="204" spans="2:2" x14ac:dyDescent="0.25">
      <c r="B204" s="52"/>
    </row>
    <row r="205" spans="2:2" x14ac:dyDescent="0.25">
      <c r="B205" s="52"/>
    </row>
    <row r="206" spans="2:2" x14ac:dyDescent="0.25">
      <c r="B206" s="52"/>
    </row>
    <row r="207" spans="2:2" x14ac:dyDescent="0.25">
      <c r="B207" s="52"/>
    </row>
    <row r="208" spans="2:2" x14ac:dyDescent="0.25">
      <c r="B208" s="52"/>
    </row>
    <row r="209" spans="2:2" x14ac:dyDescent="0.25">
      <c r="B209" s="52"/>
    </row>
    <row r="210" spans="2:2" x14ac:dyDescent="0.25">
      <c r="B210" s="52"/>
    </row>
    <row r="211" spans="2:2" x14ac:dyDescent="0.25">
      <c r="B211" s="52"/>
    </row>
    <row r="212" spans="2:2" x14ac:dyDescent="0.25">
      <c r="B212" s="52"/>
    </row>
    <row r="213" spans="2:2" x14ac:dyDescent="0.25">
      <c r="B213" s="52"/>
    </row>
    <row r="214" spans="2:2" x14ac:dyDescent="0.25">
      <c r="B214" s="52"/>
    </row>
    <row r="215" spans="2:2" x14ac:dyDescent="0.25">
      <c r="B215" s="52"/>
    </row>
    <row r="216" spans="2:2" x14ac:dyDescent="0.25">
      <c r="B216" s="52"/>
    </row>
    <row r="217" spans="2:2" x14ac:dyDescent="0.25">
      <c r="B217" s="52"/>
    </row>
    <row r="218" spans="2:2" x14ac:dyDescent="0.25">
      <c r="B218" s="52"/>
    </row>
    <row r="219" spans="2:2" x14ac:dyDescent="0.25">
      <c r="B219" s="52"/>
    </row>
    <row r="220" spans="2:2" x14ac:dyDescent="0.25">
      <c r="B220" s="52"/>
    </row>
    <row r="221" spans="2:2" x14ac:dyDescent="0.25">
      <c r="B221" s="52"/>
    </row>
    <row r="222" spans="2:2" x14ac:dyDescent="0.25">
      <c r="B222" s="52"/>
    </row>
    <row r="223" spans="2:2" x14ac:dyDescent="0.25">
      <c r="B223" s="52"/>
    </row>
    <row r="224" spans="2:2" x14ac:dyDescent="0.25">
      <c r="B224" s="52"/>
    </row>
    <row r="225" spans="2:2" x14ac:dyDescent="0.25">
      <c r="B225" s="52"/>
    </row>
    <row r="226" spans="2:2" x14ac:dyDescent="0.25">
      <c r="B226" s="52"/>
    </row>
    <row r="227" spans="2:2" x14ac:dyDescent="0.25">
      <c r="B227" s="52"/>
    </row>
    <row r="228" spans="2:2" x14ac:dyDescent="0.25">
      <c r="B228" s="52"/>
    </row>
    <row r="229" spans="2:2" x14ac:dyDescent="0.25">
      <c r="B229" s="52"/>
    </row>
    <row r="230" spans="2:2" x14ac:dyDescent="0.25">
      <c r="B230" s="52"/>
    </row>
    <row r="231" spans="2:2" x14ac:dyDescent="0.25">
      <c r="B231" s="52"/>
    </row>
    <row r="232" spans="2:2" x14ac:dyDescent="0.25">
      <c r="B232" s="52"/>
    </row>
    <row r="233" spans="2:2" x14ac:dyDescent="0.25">
      <c r="B233" s="52"/>
    </row>
    <row r="234" spans="2:2" x14ac:dyDescent="0.25">
      <c r="B234" s="52"/>
    </row>
    <row r="235" spans="2:2" x14ac:dyDescent="0.25">
      <c r="B235" s="52"/>
    </row>
    <row r="236" spans="2:2" x14ac:dyDescent="0.25">
      <c r="B236" s="52"/>
    </row>
    <row r="237" spans="2:2" x14ac:dyDescent="0.25">
      <c r="B237" s="52"/>
    </row>
    <row r="238" spans="2:2" x14ac:dyDescent="0.25">
      <c r="B238" s="52"/>
    </row>
    <row r="239" spans="2:2" x14ac:dyDescent="0.25">
      <c r="B239" s="52"/>
    </row>
    <row r="240" spans="2:2" x14ac:dyDescent="0.25">
      <c r="B240" s="52"/>
    </row>
    <row r="241" spans="2:2" x14ac:dyDescent="0.25">
      <c r="B241" s="52"/>
    </row>
    <row r="242" spans="2:2" x14ac:dyDescent="0.25">
      <c r="B242" s="52"/>
    </row>
    <row r="243" spans="2:2" x14ac:dyDescent="0.25">
      <c r="B243" s="52"/>
    </row>
    <row r="244" spans="2:2" x14ac:dyDescent="0.25">
      <c r="B244" s="52"/>
    </row>
    <row r="245" spans="2:2" x14ac:dyDescent="0.25">
      <c r="B245" s="52"/>
    </row>
    <row r="246" spans="2:2" x14ac:dyDescent="0.25">
      <c r="B246" s="52"/>
    </row>
    <row r="247" spans="2:2" x14ac:dyDescent="0.25">
      <c r="B247" s="52"/>
    </row>
    <row r="248" spans="2:2" x14ac:dyDescent="0.25">
      <c r="B248" s="52"/>
    </row>
    <row r="249" spans="2:2" x14ac:dyDescent="0.25">
      <c r="B249" s="52"/>
    </row>
    <row r="250" spans="2:2" x14ac:dyDescent="0.25">
      <c r="B250" s="52"/>
    </row>
    <row r="251" spans="2:2" x14ac:dyDescent="0.25">
      <c r="B251" s="52"/>
    </row>
    <row r="252" spans="2:2" x14ac:dyDescent="0.25">
      <c r="B252" s="52"/>
    </row>
    <row r="253" spans="2:2" x14ac:dyDescent="0.25">
      <c r="B253" s="52"/>
    </row>
    <row r="254" spans="2:2" x14ac:dyDescent="0.25">
      <c r="B254" s="52"/>
    </row>
    <row r="255" spans="2:2" x14ac:dyDescent="0.25">
      <c r="B255" s="52"/>
    </row>
    <row r="256" spans="2:2" x14ac:dyDescent="0.25">
      <c r="B256" s="52"/>
    </row>
    <row r="257" spans="2:2" x14ac:dyDescent="0.25">
      <c r="B257" s="52"/>
    </row>
    <row r="258" spans="2:2" x14ac:dyDescent="0.25">
      <c r="B258" s="52"/>
    </row>
    <row r="259" spans="2:2" x14ac:dyDescent="0.25">
      <c r="B259" s="52"/>
    </row>
    <row r="260" spans="2:2" x14ac:dyDescent="0.25">
      <c r="B260" s="52"/>
    </row>
    <row r="261" spans="2:2" x14ac:dyDescent="0.25">
      <c r="B261" s="52"/>
    </row>
    <row r="262" spans="2:2" x14ac:dyDescent="0.25">
      <c r="B262" s="52"/>
    </row>
    <row r="263" spans="2:2" x14ac:dyDescent="0.25">
      <c r="B263" s="52"/>
    </row>
    <row r="264" spans="2:2" x14ac:dyDescent="0.25">
      <c r="B264" s="52"/>
    </row>
    <row r="265" spans="2:2" x14ac:dyDescent="0.25">
      <c r="B265" s="52"/>
    </row>
    <row r="266" spans="2:2" x14ac:dyDescent="0.25">
      <c r="B266" s="52"/>
    </row>
    <row r="267" spans="2:2" x14ac:dyDescent="0.25">
      <c r="B267" s="52"/>
    </row>
    <row r="268" spans="2:2" x14ac:dyDescent="0.25">
      <c r="B268" s="52"/>
    </row>
    <row r="269" spans="2:2" x14ac:dyDescent="0.25">
      <c r="B269" s="52"/>
    </row>
    <row r="270" spans="2:2" x14ac:dyDescent="0.25">
      <c r="B270" s="52"/>
    </row>
    <row r="271" spans="2:2" x14ac:dyDescent="0.25">
      <c r="B271" s="52"/>
    </row>
    <row r="272" spans="2:2" x14ac:dyDescent="0.25">
      <c r="B272" s="52"/>
    </row>
    <row r="273" spans="2:2" x14ac:dyDescent="0.25">
      <c r="B273" s="52"/>
    </row>
    <row r="274" spans="2:2" x14ac:dyDescent="0.25">
      <c r="B274" s="52"/>
    </row>
    <row r="275" spans="2:2" x14ac:dyDescent="0.25">
      <c r="B275" s="52"/>
    </row>
    <row r="276" spans="2:2" x14ac:dyDescent="0.25">
      <c r="B276" s="52"/>
    </row>
    <row r="277" spans="2:2" x14ac:dyDescent="0.25">
      <c r="B277" s="52"/>
    </row>
    <row r="278" spans="2:2" x14ac:dyDescent="0.25">
      <c r="B278" s="52"/>
    </row>
    <row r="279" spans="2:2" x14ac:dyDescent="0.25">
      <c r="B279" s="52"/>
    </row>
    <row r="280" spans="2:2" x14ac:dyDescent="0.25">
      <c r="B280" s="52"/>
    </row>
    <row r="281" spans="2:2" x14ac:dyDescent="0.25">
      <c r="B281" s="52"/>
    </row>
    <row r="282" spans="2:2" x14ac:dyDescent="0.25">
      <c r="B282" s="52"/>
    </row>
    <row r="283" spans="2:2" x14ac:dyDescent="0.25">
      <c r="B283" s="52"/>
    </row>
    <row r="284" spans="2:2" x14ac:dyDescent="0.25">
      <c r="B284" s="52"/>
    </row>
    <row r="285" spans="2:2" x14ac:dyDescent="0.25">
      <c r="B285" s="52"/>
    </row>
    <row r="286" spans="2:2" x14ac:dyDescent="0.25">
      <c r="B286" s="52"/>
    </row>
    <row r="287" spans="2:2" x14ac:dyDescent="0.25">
      <c r="B287" s="52"/>
    </row>
    <row r="288" spans="2:2" x14ac:dyDescent="0.25">
      <c r="B288" s="52"/>
    </row>
    <row r="289" spans="2:2" x14ac:dyDescent="0.25">
      <c r="B289" s="52"/>
    </row>
    <row r="290" spans="2:2" x14ac:dyDescent="0.25">
      <c r="B290" s="52"/>
    </row>
    <row r="291" spans="2:2" x14ac:dyDescent="0.25">
      <c r="B291" s="52"/>
    </row>
    <row r="292" spans="2:2" x14ac:dyDescent="0.25">
      <c r="B292" s="52"/>
    </row>
    <row r="293" spans="2:2" x14ac:dyDescent="0.25">
      <c r="B293" s="52"/>
    </row>
    <row r="294" spans="2:2" x14ac:dyDescent="0.25">
      <c r="B294" s="52"/>
    </row>
    <row r="295" spans="2:2" x14ac:dyDescent="0.25">
      <c r="B295" s="52"/>
    </row>
    <row r="296" spans="2:2" x14ac:dyDescent="0.25">
      <c r="B296" s="52"/>
    </row>
    <row r="297" spans="2:2" x14ac:dyDescent="0.25">
      <c r="B297" s="52"/>
    </row>
    <row r="298" spans="2:2" x14ac:dyDescent="0.25">
      <c r="B298" s="52"/>
    </row>
    <row r="299" spans="2:2" x14ac:dyDescent="0.25">
      <c r="B299" s="52"/>
    </row>
    <row r="300" spans="2:2" x14ac:dyDescent="0.25">
      <c r="B300" s="52"/>
    </row>
    <row r="301" spans="2:2" x14ac:dyDescent="0.25">
      <c r="B301" s="52"/>
    </row>
    <row r="302" spans="2:2" x14ac:dyDescent="0.25">
      <c r="B302" s="52"/>
    </row>
    <row r="303" spans="2:2" x14ac:dyDescent="0.25">
      <c r="B303" s="52"/>
    </row>
    <row r="304" spans="2:2" x14ac:dyDescent="0.25">
      <c r="B304" s="52"/>
    </row>
    <row r="305" spans="2:2" x14ac:dyDescent="0.25">
      <c r="B305" s="52"/>
    </row>
    <row r="306" spans="2:2" x14ac:dyDescent="0.25">
      <c r="B306" s="52"/>
    </row>
    <row r="307" spans="2:2" x14ac:dyDescent="0.25">
      <c r="B307" s="52"/>
    </row>
    <row r="308" spans="2:2" x14ac:dyDescent="0.25">
      <c r="B308" s="52"/>
    </row>
    <row r="309" spans="2:2" x14ac:dyDescent="0.25">
      <c r="B309" s="52"/>
    </row>
    <row r="310" spans="2:2" x14ac:dyDescent="0.25">
      <c r="B310" s="52"/>
    </row>
    <row r="311" spans="2:2" x14ac:dyDescent="0.25">
      <c r="B311" s="52"/>
    </row>
    <row r="312" spans="2:2" x14ac:dyDescent="0.25">
      <c r="B312" s="52"/>
    </row>
    <row r="313" spans="2:2" x14ac:dyDescent="0.25">
      <c r="B313" s="52"/>
    </row>
    <row r="314" spans="2:2" x14ac:dyDescent="0.25">
      <c r="B314" s="52"/>
    </row>
    <row r="315" spans="2:2" x14ac:dyDescent="0.25">
      <c r="B315" s="52"/>
    </row>
    <row r="316" spans="2:2" x14ac:dyDescent="0.25">
      <c r="B316" s="52"/>
    </row>
    <row r="317" spans="2:2" x14ac:dyDescent="0.25">
      <c r="B317" s="52"/>
    </row>
    <row r="318" spans="2:2" x14ac:dyDescent="0.25">
      <c r="B318" s="52"/>
    </row>
    <row r="319" spans="2:2" x14ac:dyDescent="0.25">
      <c r="B319" s="52"/>
    </row>
    <row r="320" spans="2:2" x14ac:dyDescent="0.25">
      <c r="B320" s="52"/>
    </row>
    <row r="321" spans="2:2" x14ac:dyDescent="0.25">
      <c r="B321" s="52"/>
    </row>
    <row r="322" spans="2:2" x14ac:dyDescent="0.25">
      <c r="B322" s="52"/>
    </row>
    <row r="323" spans="2:2" x14ac:dyDescent="0.25">
      <c r="B323" s="52"/>
    </row>
    <row r="324" spans="2:2" x14ac:dyDescent="0.25">
      <c r="B324" s="52"/>
    </row>
    <row r="325" spans="2:2" x14ac:dyDescent="0.25">
      <c r="B325" s="52"/>
    </row>
    <row r="326" spans="2:2" x14ac:dyDescent="0.25">
      <c r="B326" s="52"/>
    </row>
    <row r="327" spans="2:2" x14ac:dyDescent="0.25">
      <c r="B327" s="52"/>
    </row>
    <row r="328" spans="2:2" x14ac:dyDescent="0.25">
      <c r="B328" s="52"/>
    </row>
    <row r="329" spans="2:2" x14ac:dyDescent="0.25">
      <c r="B329" s="52"/>
    </row>
    <row r="330" spans="2:2" x14ac:dyDescent="0.25">
      <c r="B330" s="52"/>
    </row>
    <row r="331" spans="2:2" x14ac:dyDescent="0.25">
      <c r="B331" s="52"/>
    </row>
    <row r="332" spans="2:2" x14ac:dyDescent="0.25">
      <c r="B332" s="52"/>
    </row>
    <row r="333" spans="2:2" x14ac:dyDescent="0.25">
      <c r="B333" s="52"/>
    </row>
    <row r="334" spans="2:2" x14ac:dyDescent="0.25">
      <c r="B334" s="52"/>
    </row>
    <row r="335" spans="2:2" x14ac:dyDescent="0.25">
      <c r="B335" s="52"/>
    </row>
    <row r="336" spans="2:2" x14ac:dyDescent="0.25">
      <c r="B336" s="52"/>
    </row>
    <row r="337" spans="2:2" x14ac:dyDescent="0.25">
      <c r="B337" s="52"/>
    </row>
    <row r="338" spans="2:2" x14ac:dyDescent="0.25">
      <c r="B338" s="52"/>
    </row>
    <row r="339" spans="2:2" x14ac:dyDescent="0.25">
      <c r="B339" s="52"/>
    </row>
    <row r="340" spans="2:2" x14ac:dyDescent="0.25">
      <c r="B340" s="52"/>
    </row>
    <row r="341" spans="2:2" x14ac:dyDescent="0.25">
      <c r="B341" s="52"/>
    </row>
    <row r="342" spans="2:2" x14ac:dyDescent="0.25">
      <c r="B342" s="52"/>
    </row>
    <row r="343" spans="2:2" x14ac:dyDescent="0.25">
      <c r="B343" s="52"/>
    </row>
    <row r="344" spans="2:2" x14ac:dyDescent="0.25">
      <c r="B344" s="52"/>
    </row>
    <row r="345" spans="2:2" x14ac:dyDescent="0.25">
      <c r="B345" s="52"/>
    </row>
    <row r="346" spans="2:2" x14ac:dyDescent="0.25">
      <c r="B346" s="52"/>
    </row>
    <row r="347" spans="2:2" x14ac:dyDescent="0.25">
      <c r="B347" s="52"/>
    </row>
    <row r="348" spans="2:2" x14ac:dyDescent="0.25">
      <c r="B348" s="52"/>
    </row>
    <row r="349" spans="2:2" x14ac:dyDescent="0.25">
      <c r="B349" s="52"/>
    </row>
    <row r="350" spans="2:2" x14ac:dyDescent="0.25">
      <c r="B350" s="52"/>
    </row>
    <row r="351" spans="2:2" x14ac:dyDescent="0.25">
      <c r="B351" s="52"/>
    </row>
    <row r="352" spans="2:2" x14ac:dyDescent="0.25">
      <c r="B352" s="52"/>
    </row>
    <row r="353" spans="2:2" x14ac:dyDescent="0.25">
      <c r="B353" s="52"/>
    </row>
    <row r="354" spans="2:2" x14ac:dyDescent="0.25">
      <c r="B354" s="52"/>
    </row>
    <row r="355" spans="2:2" x14ac:dyDescent="0.25">
      <c r="B355" s="52"/>
    </row>
    <row r="356" spans="2:2" x14ac:dyDescent="0.25">
      <c r="B356" s="52"/>
    </row>
    <row r="357" spans="2:2" x14ac:dyDescent="0.25">
      <c r="B357" s="52"/>
    </row>
    <row r="358" spans="2:2" x14ac:dyDescent="0.25">
      <c r="B358" s="52"/>
    </row>
    <row r="359" spans="2:2" x14ac:dyDescent="0.25">
      <c r="B359" s="52"/>
    </row>
    <row r="360" spans="2:2" x14ac:dyDescent="0.25">
      <c r="B360" s="52"/>
    </row>
    <row r="361" spans="2:2" x14ac:dyDescent="0.25">
      <c r="B361" s="52"/>
    </row>
    <row r="362" spans="2:2" x14ac:dyDescent="0.25">
      <c r="B362" s="52"/>
    </row>
    <row r="363" spans="2:2" x14ac:dyDescent="0.25">
      <c r="B363" s="52"/>
    </row>
    <row r="364" spans="2:2" x14ac:dyDescent="0.25">
      <c r="B364" s="52"/>
    </row>
    <row r="365" spans="2:2" x14ac:dyDescent="0.25">
      <c r="B365" s="52"/>
    </row>
    <row r="366" spans="2:2" x14ac:dyDescent="0.25">
      <c r="B366" s="52"/>
    </row>
    <row r="367" spans="2:2" x14ac:dyDescent="0.25">
      <c r="B367" s="52"/>
    </row>
    <row r="368" spans="2:2" x14ac:dyDescent="0.25">
      <c r="B368" s="52"/>
    </row>
    <row r="369" spans="2:2" x14ac:dyDescent="0.25">
      <c r="B369" s="52"/>
    </row>
    <row r="370" spans="2:2" x14ac:dyDescent="0.25">
      <c r="B370" s="52"/>
    </row>
    <row r="371" spans="2:2" x14ac:dyDescent="0.25">
      <c r="B371" s="52"/>
    </row>
    <row r="372" spans="2:2" x14ac:dyDescent="0.25">
      <c r="B372" s="52"/>
    </row>
    <row r="373" spans="2:2" x14ac:dyDescent="0.25">
      <c r="B373" s="52"/>
    </row>
    <row r="374" spans="2:2" x14ac:dyDescent="0.25">
      <c r="B374" s="52"/>
    </row>
    <row r="375" spans="2:2" x14ac:dyDescent="0.25">
      <c r="B375" s="52"/>
    </row>
    <row r="376" spans="2:2" x14ac:dyDescent="0.25">
      <c r="B376" s="52"/>
    </row>
    <row r="377" spans="2:2" x14ac:dyDescent="0.25">
      <c r="B377" s="52"/>
    </row>
    <row r="378" spans="2:2" x14ac:dyDescent="0.25">
      <c r="B378" s="52"/>
    </row>
    <row r="379" spans="2:2" x14ac:dyDescent="0.25">
      <c r="B379" s="52"/>
    </row>
    <row r="380" spans="2:2" x14ac:dyDescent="0.25">
      <c r="B380" s="52"/>
    </row>
    <row r="381" spans="2:2" x14ac:dyDescent="0.25">
      <c r="B381" s="52"/>
    </row>
    <row r="382" spans="2:2" x14ac:dyDescent="0.25">
      <c r="B382" s="52"/>
    </row>
    <row r="383" spans="2:2" x14ac:dyDescent="0.25">
      <c r="B383" s="52"/>
    </row>
    <row r="384" spans="2:2" x14ac:dyDescent="0.25">
      <c r="B384" s="52"/>
    </row>
    <row r="385" spans="2:2" x14ac:dyDescent="0.25">
      <c r="B385" s="52"/>
    </row>
    <row r="386" spans="2:2" x14ac:dyDescent="0.25">
      <c r="B386" s="52"/>
    </row>
    <row r="387" spans="2:2" x14ac:dyDescent="0.25">
      <c r="B387" s="52"/>
    </row>
    <row r="388" spans="2:2" x14ac:dyDescent="0.25">
      <c r="B388" s="52"/>
    </row>
    <row r="389" spans="2:2" x14ac:dyDescent="0.25">
      <c r="B389" s="52"/>
    </row>
    <row r="390" spans="2:2" x14ac:dyDescent="0.25">
      <c r="B390" s="52"/>
    </row>
    <row r="391" spans="2:2" x14ac:dyDescent="0.25">
      <c r="B391" s="52"/>
    </row>
    <row r="392" spans="2:2" x14ac:dyDescent="0.25">
      <c r="B392" s="52"/>
    </row>
    <row r="393" spans="2:2" x14ac:dyDescent="0.25">
      <c r="B393" s="52"/>
    </row>
    <row r="394" spans="2:2" x14ac:dyDescent="0.25">
      <c r="B394" s="52"/>
    </row>
    <row r="395" spans="2:2" x14ac:dyDescent="0.25">
      <c r="B395" s="52"/>
    </row>
    <row r="396" spans="2:2" x14ac:dyDescent="0.25">
      <c r="B396" s="52"/>
    </row>
    <row r="397" spans="2:2" x14ac:dyDescent="0.25">
      <c r="B397" s="52"/>
    </row>
    <row r="398" spans="2:2" x14ac:dyDescent="0.25">
      <c r="B398" s="52"/>
    </row>
    <row r="399" spans="2:2" x14ac:dyDescent="0.25">
      <c r="B399" s="52"/>
    </row>
    <row r="400" spans="2:2" x14ac:dyDescent="0.25">
      <c r="B400" s="52"/>
    </row>
    <row r="401" spans="2:2" x14ac:dyDescent="0.25">
      <c r="B401" s="52"/>
    </row>
    <row r="402" spans="2:2" x14ac:dyDescent="0.25">
      <c r="B402" s="52"/>
    </row>
    <row r="403" spans="2:2" x14ac:dyDescent="0.25">
      <c r="B403" s="52"/>
    </row>
    <row r="404" spans="2:2" x14ac:dyDescent="0.25">
      <c r="B404" s="52"/>
    </row>
    <row r="405" spans="2:2" x14ac:dyDescent="0.25">
      <c r="B405" s="52"/>
    </row>
    <row r="406" spans="2:2" x14ac:dyDescent="0.25">
      <c r="B406" s="52"/>
    </row>
    <row r="407" spans="2:2" x14ac:dyDescent="0.25">
      <c r="B407" s="52"/>
    </row>
    <row r="408" spans="2:2" x14ac:dyDescent="0.25">
      <c r="B408" s="52"/>
    </row>
    <row r="409" spans="2:2" x14ac:dyDescent="0.25">
      <c r="B409" s="52"/>
    </row>
    <row r="410" spans="2:2" x14ac:dyDescent="0.25">
      <c r="B410" s="52"/>
    </row>
    <row r="411" spans="2:2" x14ac:dyDescent="0.25">
      <c r="B411" s="52"/>
    </row>
    <row r="412" spans="2:2" x14ac:dyDescent="0.25">
      <c r="B412" s="52"/>
    </row>
    <row r="413" spans="2:2" x14ac:dyDescent="0.25">
      <c r="B413" s="52"/>
    </row>
    <row r="414" spans="2:2" x14ac:dyDescent="0.25">
      <c r="B414" s="52"/>
    </row>
    <row r="415" spans="2:2" x14ac:dyDescent="0.25">
      <c r="B415" s="52"/>
    </row>
    <row r="416" spans="2:2" x14ac:dyDescent="0.25">
      <c r="B416" s="52"/>
    </row>
    <row r="417" spans="2:2" x14ac:dyDescent="0.25">
      <c r="B417" s="52"/>
    </row>
    <row r="418" spans="2:2" x14ac:dyDescent="0.25">
      <c r="B418" s="52"/>
    </row>
    <row r="419" spans="2:2" x14ac:dyDescent="0.25">
      <c r="B419" s="52"/>
    </row>
    <row r="420" spans="2:2" x14ac:dyDescent="0.25">
      <c r="B420" s="52"/>
    </row>
    <row r="421" spans="2:2" x14ac:dyDescent="0.25">
      <c r="B421" s="52"/>
    </row>
    <row r="422" spans="2:2" x14ac:dyDescent="0.25">
      <c r="B422" s="52"/>
    </row>
    <row r="423" spans="2:2" x14ac:dyDescent="0.25">
      <c r="B423" s="52"/>
    </row>
    <row r="424" spans="2:2" x14ac:dyDescent="0.25">
      <c r="B424" s="52"/>
    </row>
    <row r="425" spans="2:2" x14ac:dyDescent="0.25">
      <c r="B425" s="52"/>
    </row>
    <row r="426" spans="2:2" x14ac:dyDescent="0.25">
      <c r="B426" s="52"/>
    </row>
    <row r="427" spans="2:2" x14ac:dyDescent="0.25">
      <c r="B427" s="52"/>
    </row>
    <row r="428" spans="2:2" x14ac:dyDescent="0.25">
      <c r="B428" s="52"/>
    </row>
    <row r="429" spans="2:2" x14ac:dyDescent="0.25">
      <c r="B429" s="52"/>
    </row>
    <row r="430" spans="2:2" x14ac:dyDescent="0.25">
      <c r="B430" s="52"/>
    </row>
    <row r="431" spans="2:2" x14ac:dyDescent="0.25">
      <c r="B431" s="52"/>
    </row>
    <row r="432" spans="2:2" x14ac:dyDescent="0.25">
      <c r="B432" s="52"/>
    </row>
    <row r="433" spans="2:2" x14ac:dyDescent="0.25">
      <c r="B433" s="52"/>
    </row>
    <row r="434" spans="2:2" x14ac:dyDescent="0.25">
      <c r="B434" s="52"/>
    </row>
    <row r="435" spans="2:2" x14ac:dyDescent="0.25">
      <c r="B435" s="52"/>
    </row>
    <row r="436" spans="2:2" x14ac:dyDescent="0.25">
      <c r="B436" s="52"/>
    </row>
    <row r="437" spans="2:2" x14ac:dyDescent="0.25">
      <c r="B437" s="52"/>
    </row>
    <row r="438" spans="2:2" x14ac:dyDescent="0.25">
      <c r="B438" s="52"/>
    </row>
    <row r="439" spans="2:2" x14ac:dyDescent="0.25">
      <c r="B439" s="52"/>
    </row>
    <row r="440" spans="2:2" x14ac:dyDescent="0.25">
      <c r="B440" s="52"/>
    </row>
    <row r="441" spans="2:2" x14ac:dyDescent="0.25">
      <c r="B441" s="52"/>
    </row>
    <row r="442" spans="2:2" x14ac:dyDescent="0.25">
      <c r="B442" s="52"/>
    </row>
    <row r="443" spans="2:2" x14ac:dyDescent="0.25">
      <c r="B443" s="52"/>
    </row>
    <row r="444" spans="2:2" x14ac:dyDescent="0.25">
      <c r="B444" s="52"/>
    </row>
    <row r="445" spans="2:2" x14ac:dyDescent="0.25">
      <c r="B445" s="52"/>
    </row>
    <row r="446" spans="2:2" x14ac:dyDescent="0.25">
      <c r="B446" s="52"/>
    </row>
    <row r="447" spans="2:2" x14ac:dyDescent="0.25">
      <c r="B447" s="52"/>
    </row>
    <row r="448" spans="2:2" x14ac:dyDescent="0.25">
      <c r="B448" s="52"/>
    </row>
    <row r="449" spans="2:2" x14ac:dyDescent="0.25">
      <c r="B449" s="52"/>
    </row>
    <row r="450" spans="2:2" x14ac:dyDescent="0.25">
      <c r="B450" s="52"/>
    </row>
    <row r="451" spans="2:2" x14ac:dyDescent="0.25">
      <c r="B451" s="52"/>
    </row>
    <row r="452" spans="2:2" x14ac:dyDescent="0.25">
      <c r="B452" s="52"/>
    </row>
    <row r="453" spans="2:2" x14ac:dyDescent="0.25">
      <c r="B453" s="52"/>
    </row>
    <row r="454" spans="2:2" x14ac:dyDescent="0.25">
      <c r="B454" s="52"/>
    </row>
    <row r="455" spans="2:2" x14ac:dyDescent="0.25">
      <c r="B455" s="52"/>
    </row>
    <row r="456" spans="2:2" x14ac:dyDescent="0.25">
      <c r="B456" s="52"/>
    </row>
    <row r="457" spans="2:2" x14ac:dyDescent="0.25">
      <c r="B457" s="52"/>
    </row>
    <row r="458" spans="2:2" x14ac:dyDescent="0.25">
      <c r="B458" s="52"/>
    </row>
    <row r="459" spans="2:2" x14ac:dyDescent="0.25">
      <c r="B459" s="52"/>
    </row>
    <row r="460" spans="2:2" x14ac:dyDescent="0.25">
      <c r="B460" s="52"/>
    </row>
    <row r="461" spans="2:2" x14ac:dyDescent="0.25">
      <c r="B461" s="52"/>
    </row>
    <row r="462" spans="2:2" x14ac:dyDescent="0.25">
      <c r="B462" s="52"/>
    </row>
    <row r="463" spans="2:2" x14ac:dyDescent="0.25">
      <c r="B463" s="52"/>
    </row>
    <row r="464" spans="2:2" x14ac:dyDescent="0.25">
      <c r="B464" s="52"/>
    </row>
    <row r="465" spans="2:2" x14ac:dyDescent="0.25">
      <c r="B465" s="52"/>
    </row>
    <row r="466" spans="2:2" x14ac:dyDescent="0.25">
      <c r="B466" s="52"/>
    </row>
    <row r="467" spans="2:2" x14ac:dyDescent="0.25">
      <c r="B467" s="52"/>
    </row>
    <row r="468" spans="2:2" x14ac:dyDescent="0.25">
      <c r="B468" s="52"/>
    </row>
    <row r="469" spans="2:2" x14ac:dyDescent="0.25">
      <c r="B469" s="52"/>
    </row>
    <row r="470" spans="2:2" x14ac:dyDescent="0.25">
      <c r="B470" s="52"/>
    </row>
    <row r="471" spans="2:2" x14ac:dyDescent="0.25">
      <c r="B471" s="52"/>
    </row>
    <row r="472" spans="2:2" x14ac:dyDescent="0.25">
      <c r="B472" s="52"/>
    </row>
    <row r="473" spans="2:2" x14ac:dyDescent="0.25">
      <c r="B473" s="52"/>
    </row>
    <row r="474" spans="2:2" x14ac:dyDescent="0.25">
      <c r="B474" s="52"/>
    </row>
    <row r="475" spans="2:2" x14ac:dyDescent="0.25">
      <c r="B475" s="52"/>
    </row>
    <row r="476" spans="2:2" x14ac:dyDescent="0.25">
      <c r="B476" s="52"/>
    </row>
    <row r="477" spans="2:2" x14ac:dyDescent="0.25">
      <c r="B477" s="52"/>
    </row>
    <row r="478" spans="2:2" x14ac:dyDescent="0.25">
      <c r="B478" s="52"/>
    </row>
    <row r="479" spans="2:2" x14ac:dyDescent="0.25">
      <c r="B479" s="52"/>
    </row>
    <row r="480" spans="2:2" x14ac:dyDescent="0.25">
      <c r="B480" s="52"/>
    </row>
    <row r="481" spans="2:2" x14ac:dyDescent="0.25">
      <c r="B481" s="52"/>
    </row>
    <row r="482" spans="2:2" x14ac:dyDescent="0.25">
      <c r="B482" s="52"/>
    </row>
    <row r="483" spans="2:2" x14ac:dyDescent="0.25">
      <c r="B483" s="52"/>
    </row>
    <row r="484" spans="2:2" x14ac:dyDescent="0.25">
      <c r="B484" s="52"/>
    </row>
    <row r="485" spans="2:2" x14ac:dyDescent="0.25">
      <c r="B485" s="52"/>
    </row>
    <row r="486" spans="2:2" x14ac:dyDescent="0.25">
      <c r="B486" s="52"/>
    </row>
    <row r="487" spans="2:2" x14ac:dyDescent="0.25">
      <c r="B487" s="52"/>
    </row>
    <row r="488" spans="2:2" x14ac:dyDescent="0.25">
      <c r="B488" s="52"/>
    </row>
    <row r="489" spans="2:2" x14ac:dyDescent="0.25">
      <c r="B489" s="52"/>
    </row>
    <row r="490" spans="2:2" x14ac:dyDescent="0.25">
      <c r="B490" s="52"/>
    </row>
    <row r="491" spans="2:2" x14ac:dyDescent="0.25">
      <c r="B491" s="52"/>
    </row>
    <row r="492" spans="2:2" x14ac:dyDescent="0.25">
      <c r="B492" s="52"/>
    </row>
    <row r="493" spans="2:2" x14ac:dyDescent="0.25">
      <c r="B493" s="52"/>
    </row>
    <row r="494" spans="2:2" x14ac:dyDescent="0.25">
      <c r="B494" s="52"/>
    </row>
    <row r="495" spans="2:2" x14ac:dyDescent="0.25">
      <c r="B495" s="52"/>
    </row>
    <row r="496" spans="2:2" x14ac:dyDescent="0.25">
      <c r="B496" s="52"/>
    </row>
    <row r="497" spans="2:2" x14ac:dyDescent="0.25">
      <c r="B497" s="52"/>
    </row>
    <row r="498" spans="2:2" x14ac:dyDescent="0.25">
      <c r="B498" s="52"/>
    </row>
    <row r="499" spans="2:2" x14ac:dyDescent="0.25">
      <c r="B499" s="52"/>
    </row>
    <row r="500" spans="2:2" x14ac:dyDescent="0.25">
      <c r="B500" s="52"/>
    </row>
    <row r="501" spans="2:2" x14ac:dyDescent="0.25">
      <c r="B501" s="52"/>
    </row>
    <row r="502" spans="2:2" x14ac:dyDescent="0.25">
      <c r="B502" s="52"/>
    </row>
    <row r="503" spans="2:2" x14ac:dyDescent="0.25">
      <c r="B503" s="52"/>
    </row>
    <row r="504" spans="2:2" x14ac:dyDescent="0.25">
      <c r="B504" s="52"/>
    </row>
    <row r="505" spans="2:2" x14ac:dyDescent="0.25">
      <c r="B505" s="52"/>
    </row>
    <row r="506" spans="2:2" x14ac:dyDescent="0.25">
      <c r="B506" s="52"/>
    </row>
    <row r="507" spans="2:2" x14ac:dyDescent="0.25">
      <c r="B507" s="52"/>
    </row>
    <row r="508" spans="2:2" x14ac:dyDescent="0.25">
      <c r="B508" s="52"/>
    </row>
    <row r="509" spans="2:2" x14ac:dyDescent="0.25">
      <c r="B509" s="52"/>
    </row>
    <row r="510" spans="2:2" x14ac:dyDescent="0.25">
      <c r="B510" s="52"/>
    </row>
    <row r="511" spans="2:2" x14ac:dyDescent="0.25">
      <c r="B511" s="52"/>
    </row>
    <row r="512" spans="2:2" x14ac:dyDescent="0.25">
      <c r="B512" s="52"/>
    </row>
    <row r="513" spans="2:2" x14ac:dyDescent="0.25">
      <c r="B513" s="52"/>
    </row>
    <row r="514" spans="2:2" x14ac:dyDescent="0.25">
      <c r="B514" s="52"/>
    </row>
    <row r="515" spans="2:2" x14ac:dyDescent="0.25">
      <c r="B515" s="52"/>
    </row>
    <row r="516" spans="2:2" x14ac:dyDescent="0.25">
      <c r="B516" s="52"/>
    </row>
    <row r="517" spans="2:2" x14ac:dyDescent="0.25">
      <c r="B517" s="52"/>
    </row>
    <row r="518" spans="2:2" x14ac:dyDescent="0.25">
      <c r="B518" s="52"/>
    </row>
    <row r="519" spans="2:2" x14ac:dyDescent="0.25">
      <c r="B519" s="52"/>
    </row>
    <row r="520" spans="2:2" x14ac:dyDescent="0.25">
      <c r="B520" s="52"/>
    </row>
    <row r="521" spans="2:2" x14ac:dyDescent="0.25">
      <c r="B521" s="52"/>
    </row>
    <row r="522" spans="2:2" x14ac:dyDescent="0.25">
      <c r="B522" s="52"/>
    </row>
    <row r="523" spans="2:2" x14ac:dyDescent="0.25">
      <c r="B523" s="52"/>
    </row>
    <row r="524" spans="2:2" x14ac:dyDescent="0.25">
      <c r="B524" s="52"/>
    </row>
    <row r="525" spans="2:2" x14ac:dyDescent="0.25">
      <c r="B525" s="52"/>
    </row>
    <row r="526" spans="2:2" x14ac:dyDescent="0.25">
      <c r="B526" s="52"/>
    </row>
    <row r="527" spans="2:2" x14ac:dyDescent="0.25">
      <c r="B527" s="52"/>
    </row>
    <row r="528" spans="2:2" x14ac:dyDescent="0.25">
      <c r="B528" s="52"/>
    </row>
    <row r="529" spans="2:2" x14ac:dyDescent="0.25">
      <c r="B529" s="52"/>
    </row>
    <row r="530" spans="2:2" x14ac:dyDescent="0.25">
      <c r="B530" s="52"/>
    </row>
    <row r="531" spans="2:2" x14ac:dyDescent="0.25">
      <c r="B531" s="52"/>
    </row>
    <row r="532" spans="2:2" x14ac:dyDescent="0.25">
      <c r="B532" s="52"/>
    </row>
    <row r="533" spans="2:2" x14ac:dyDescent="0.25">
      <c r="B533" s="52"/>
    </row>
    <row r="534" spans="2:2" x14ac:dyDescent="0.25">
      <c r="B534" s="52"/>
    </row>
    <row r="535" spans="2:2" x14ac:dyDescent="0.25">
      <c r="B535" s="52"/>
    </row>
    <row r="536" spans="2:2" x14ac:dyDescent="0.25">
      <c r="B536" s="52"/>
    </row>
    <row r="537" spans="2:2" x14ac:dyDescent="0.25">
      <c r="B537" s="52"/>
    </row>
    <row r="538" spans="2:2" x14ac:dyDescent="0.25">
      <c r="B538" s="52"/>
    </row>
    <row r="539" spans="2:2" x14ac:dyDescent="0.25">
      <c r="B539" s="52"/>
    </row>
    <row r="540" spans="2:2" x14ac:dyDescent="0.25">
      <c r="B540" s="52"/>
    </row>
    <row r="541" spans="2:2" x14ac:dyDescent="0.25">
      <c r="B541" s="52"/>
    </row>
    <row r="542" spans="2:2" x14ac:dyDescent="0.25">
      <c r="B542" s="52"/>
    </row>
    <row r="543" spans="2:2" x14ac:dyDescent="0.25">
      <c r="B543" s="52"/>
    </row>
    <row r="544" spans="2:2" x14ac:dyDescent="0.25">
      <c r="B544" s="52"/>
    </row>
    <row r="545" spans="2:2" x14ac:dyDescent="0.25">
      <c r="B545" s="52"/>
    </row>
    <row r="546" spans="2:2" x14ac:dyDescent="0.25">
      <c r="B546" s="52"/>
    </row>
    <row r="547" spans="2:2" x14ac:dyDescent="0.25">
      <c r="B547" s="52"/>
    </row>
    <row r="548" spans="2:2" x14ac:dyDescent="0.25">
      <c r="B548" s="52"/>
    </row>
    <row r="549" spans="2:2" x14ac:dyDescent="0.25">
      <c r="B549" s="52"/>
    </row>
    <row r="550" spans="2:2" x14ac:dyDescent="0.25">
      <c r="B550" s="52"/>
    </row>
    <row r="551" spans="2:2" x14ac:dyDescent="0.25">
      <c r="B551" s="52"/>
    </row>
    <row r="552" spans="2:2" x14ac:dyDescent="0.25">
      <c r="B552" s="52"/>
    </row>
    <row r="553" spans="2:2" x14ac:dyDescent="0.25">
      <c r="B553" s="52"/>
    </row>
    <row r="554" spans="2:2" x14ac:dyDescent="0.25">
      <c r="B554" s="52"/>
    </row>
    <row r="555" spans="2:2" x14ac:dyDescent="0.25">
      <c r="B555" s="52"/>
    </row>
    <row r="556" spans="2:2" x14ac:dyDescent="0.25">
      <c r="B556" s="52"/>
    </row>
    <row r="557" spans="2:2" x14ac:dyDescent="0.25">
      <c r="B557" s="52"/>
    </row>
    <row r="558" spans="2:2" x14ac:dyDescent="0.25">
      <c r="B558" s="52"/>
    </row>
    <row r="559" spans="2:2" x14ac:dyDescent="0.25">
      <c r="B559" s="52"/>
    </row>
    <row r="560" spans="2:2" x14ac:dyDescent="0.25">
      <c r="B560" s="52"/>
    </row>
    <row r="561" spans="2:2" x14ac:dyDescent="0.25">
      <c r="B561" s="52"/>
    </row>
    <row r="562" spans="2:2" x14ac:dyDescent="0.25">
      <c r="B562" s="52"/>
    </row>
    <row r="563" spans="2:2" x14ac:dyDescent="0.25">
      <c r="B563" s="52"/>
    </row>
    <row r="564" spans="2:2" x14ac:dyDescent="0.25">
      <c r="B564" s="52"/>
    </row>
    <row r="565" spans="2:2" x14ac:dyDescent="0.25">
      <c r="B565" s="52"/>
    </row>
    <row r="566" spans="2:2" x14ac:dyDescent="0.25">
      <c r="B566" s="52"/>
    </row>
    <row r="567" spans="2:2" x14ac:dyDescent="0.25">
      <c r="B567" s="52"/>
    </row>
    <row r="568" spans="2:2" x14ac:dyDescent="0.25">
      <c r="B568" s="52"/>
    </row>
    <row r="569" spans="2:2" x14ac:dyDescent="0.25">
      <c r="B569" s="52"/>
    </row>
    <row r="570" spans="2:2" x14ac:dyDescent="0.25">
      <c r="B570" s="52"/>
    </row>
    <row r="571" spans="2:2" x14ac:dyDescent="0.25">
      <c r="B571" s="52"/>
    </row>
    <row r="572" spans="2:2" x14ac:dyDescent="0.25">
      <c r="B572" s="52"/>
    </row>
    <row r="573" spans="2:2" x14ac:dyDescent="0.25">
      <c r="B573" s="52"/>
    </row>
    <row r="574" spans="2:2" x14ac:dyDescent="0.25">
      <c r="B574" s="52"/>
    </row>
    <row r="575" spans="2:2" x14ac:dyDescent="0.25">
      <c r="B575" s="52"/>
    </row>
    <row r="576" spans="2:2" x14ac:dyDescent="0.25">
      <c r="B576" s="52"/>
    </row>
    <row r="577" spans="2:2" x14ac:dyDescent="0.25">
      <c r="B577" s="52"/>
    </row>
    <row r="578" spans="2:2" x14ac:dyDescent="0.25">
      <c r="B578" s="52"/>
    </row>
    <row r="579" spans="2:2" x14ac:dyDescent="0.25">
      <c r="B579" s="52"/>
    </row>
    <row r="580" spans="2:2" x14ac:dyDescent="0.25">
      <c r="B580" s="52"/>
    </row>
    <row r="581" spans="2:2" x14ac:dyDescent="0.25">
      <c r="B581" s="52"/>
    </row>
    <row r="582" spans="2:2" x14ac:dyDescent="0.25">
      <c r="B582" s="52"/>
    </row>
    <row r="583" spans="2:2" x14ac:dyDescent="0.25">
      <c r="B583" s="52"/>
    </row>
    <row r="584" spans="2:2" x14ac:dyDescent="0.25">
      <c r="B584" s="52"/>
    </row>
    <row r="585" spans="2:2" x14ac:dyDescent="0.25">
      <c r="B585" s="52"/>
    </row>
    <row r="586" spans="2:2" x14ac:dyDescent="0.25">
      <c r="B586" s="52"/>
    </row>
    <row r="587" spans="2:2" x14ac:dyDescent="0.25">
      <c r="B587" s="52"/>
    </row>
    <row r="588" spans="2:2" x14ac:dyDescent="0.25">
      <c r="B588" s="52"/>
    </row>
    <row r="589" spans="2:2" x14ac:dyDescent="0.25">
      <c r="B589" s="52"/>
    </row>
    <row r="590" spans="2:2" x14ac:dyDescent="0.25">
      <c r="B590" s="52"/>
    </row>
    <row r="591" spans="2:2" x14ac:dyDescent="0.25">
      <c r="B591" s="52"/>
    </row>
    <row r="592" spans="2:2" x14ac:dyDescent="0.25">
      <c r="B592" s="52"/>
    </row>
    <row r="593" spans="2:2" x14ac:dyDescent="0.25">
      <c r="B593" s="52"/>
    </row>
    <row r="594" spans="2:2" x14ac:dyDescent="0.25">
      <c r="B594" s="52"/>
    </row>
    <row r="595" spans="2:2" x14ac:dyDescent="0.25">
      <c r="B595" s="52"/>
    </row>
    <row r="596" spans="2:2" x14ac:dyDescent="0.25">
      <c r="B596" s="52"/>
    </row>
    <row r="597" spans="2:2" x14ac:dyDescent="0.25">
      <c r="B597" s="52"/>
    </row>
    <row r="598" spans="2:2" x14ac:dyDescent="0.25">
      <c r="B598" s="52"/>
    </row>
    <row r="599" spans="2:2" x14ac:dyDescent="0.25">
      <c r="B599" s="52"/>
    </row>
    <row r="600" spans="2:2" x14ac:dyDescent="0.25">
      <c r="B600" s="52"/>
    </row>
    <row r="601" spans="2:2" x14ac:dyDescent="0.25">
      <c r="B601" s="52"/>
    </row>
    <row r="602" spans="2:2" x14ac:dyDescent="0.25">
      <c r="B602" s="52"/>
    </row>
    <row r="603" spans="2:2" x14ac:dyDescent="0.25">
      <c r="B603" s="52"/>
    </row>
    <row r="604" spans="2:2" x14ac:dyDescent="0.25">
      <c r="B604" s="52"/>
    </row>
    <row r="605" spans="2:2" x14ac:dyDescent="0.25">
      <c r="B605" s="52"/>
    </row>
    <row r="606" spans="2:2" x14ac:dyDescent="0.25">
      <c r="B606" s="52"/>
    </row>
    <row r="607" spans="2:2" x14ac:dyDescent="0.25">
      <c r="B607" s="52"/>
    </row>
    <row r="608" spans="2:2" x14ac:dyDescent="0.25">
      <c r="B608" s="52"/>
    </row>
    <row r="609" spans="2:2" x14ac:dyDescent="0.25">
      <c r="B609" s="52"/>
    </row>
    <row r="610" spans="2:2" x14ac:dyDescent="0.25">
      <c r="B610" s="52"/>
    </row>
    <row r="611" spans="2:2" x14ac:dyDescent="0.25">
      <c r="B611" s="52"/>
    </row>
    <row r="612" spans="2:2" x14ac:dyDescent="0.25">
      <c r="B612" s="52"/>
    </row>
    <row r="613" spans="2:2" x14ac:dyDescent="0.25">
      <c r="B613" s="52"/>
    </row>
    <row r="614" spans="2:2" x14ac:dyDescent="0.25">
      <c r="B614" s="52"/>
    </row>
    <row r="615" spans="2:2" x14ac:dyDescent="0.25">
      <c r="B615" s="52"/>
    </row>
    <row r="616" spans="2:2" x14ac:dyDescent="0.25">
      <c r="B616" s="52"/>
    </row>
    <row r="617" spans="2:2" x14ac:dyDescent="0.25">
      <c r="B617" s="52"/>
    </row>
    <row r="618" spans="2:2" x14ac:dyDescent="0.25">
      <c r="B618" s="52"/>
    </row>
    <row r="619" spans="2:2" x14ac:dyDescent="0.25">
      <c r="B619" s="52"/>
    </row>
    <row r="620" spans="2:2" x14ac:dyDescent="0.25">
      <c r="B620" s="52"/>
    </row>
    <row r="621" spans="2:2" x14ac:dyDescent="0.25">
      <c r="B621" s="52"/>
    </row>
    <row r="622" spans="2:2" x14ac:dyDescent="0.25">
      <c r="B622" s="52"/>
    </row>
    <row r="623" spans="2:2" x14ac:dyDescent="0.25">
      <c r="B623" s="52"/>
    </row>
    <row r="624" spans="2:2" x14ac:dyDescent="0.25">
      <c r="B624" s="52"/>
    </row>
    <row r="625" spans="2:2" x14ac:dyDescent="0.25">
      <c r="B625" s="52"/>
    </row>
    <row r="626" spans="2:2" x14ac:dyDescent="0.25">
      <c r="B626" s="52"/>
    </row>
    <row r="627" spans="2:2" x14ac:dyDescent="0.25">
      <c r="B627" s="52"/>
    </row>
    <row r="628" spans="2:2" x14ac:dyDescent="0.25">
      <c r="B628" s="52"/>
    </row>
    <row r="629" spans="2:2" x14ac:dyDescent="0.25">
      <c r="B629" s="52"/>
    </row>
    <row r="630" spans="2:2" x14ac:dyDescent="0.25">
      <c r="B630" s="52"/>
    </row>
    <row r="631" spans="2:2" x14ac:dyDescent="0.25">
      <c r="B631" s="52"/>
    </row>
    <row r="632" spans="2:2" x14ac:dyDescent="0.25">
      <c r="B632" s="52"/>
    </row>
    <row r="633" spans="2:2" x14ac:dyDescent="0.25">
      <c r="B633" s="52"/>
    </row>
    <row r="634" spans="2:2" x14ac:dyDescent="0.25">
      <c r="B634" s="52"/>
    </row>
    <row r="635" spans="2:2" x14ac:dyDescent="0.25">
      <c r="B635" s="52"/>
    </row>
    <row r="636" spans="2:2" x14ac:dyDescent="0.25">
      <c r="B636" s="52"/>
    </row>
    <row r="637" spans="2:2" x14ac:dyDescent="0.25">
      <c r="B637" s="52"/>
    </row>
    <row r="638" spans="2:2" x14ac:dyDescent="0.25">
      <c r="B638" s="52"/>
    </row>
    <row r="639" spans="2:2" x14ac:dyDescent="0.25">
      <c r="B639" s="52"/>
    </row>
    <row r="640" spans="2:2" x14ac:dyDescent="0.25">
      <c r="B640" s="52"/>
    </row>
    <row r="641" spans="2:2" x14ac:dyDescent="0.25">
      <c r="B641" s="52"/>
    </row>
    <row r="642" spans="2:2" x14ac:dyDescent="0.25">
      <c r="B642" s="52"/>
    </row>
    <row r="643" spans="2:2" x14ac:dyDescent="0.25">
      <c r="B643" s="52"/>
    </row>
    <row r="644" spans="2:2" x14ac:dyDescent="0.25">
      <c r="B644" s="52"/>
    </row>
    <row r="645" spans="2:2" x14ac:dyDescent="0.25">
      <c r="B645" s="52"/>
    </row>
    <row r="646" spans="2:2" x14ac:dyDescent="0.25">
      <c r="B646" s="52"/>
    </row>
    <row r="647" spans="2:2" x14ac:dyDescent="0.25">
      <c r="B647" s="52"/>
    </row>
    <row r="648" spans="2:2" x14ac:dyDescent="0.25">
      <c r="B648" s="52"/>
    </row>
    <row r="649" spans="2:2" x14ac:dyDescent="0.25">
      <c r="B649" s="52"/>
    </row>
    <row r="650" spans="2:2" x14ac:dyDescent="0.25">
      <c r="B650" s="52"/>
    </row>
    <row r="651" spans="2:2" x14ac:dyDescent="0.25">
      <c r="B651" s="52"/>
    </row>
    <row r="652" spans="2:2" x14ac:dyDescent="0.25">
      <c r="B652" s="52"/>
    </row>
    <row r="653" spans="2:2" x14ac:dyDescent="0.25">
      <c r="B653" s="52"/>
    </row>
    <row r="654" spans="2:2" x14ac:dyDescent="0.25">
      <c r="B654" s="52"/>
    </row>
    <row r="655" spans="2:2" x14ac:dyDescent="0.25">
      <c r="B655" s="52"/>
    </row>
    <row r="656" spans="2:2" x14ac:dyDescent="0.25">
      <c r="B656" s="52"/>
    </row>
    <row r="657" spans="2:2" x14ac:dyDescent="0.25">
      <c r="B657" s="52"/>
    </row>
    <row r="658" spans="2:2" x14ac:dyDescent="0.25">
      <c r="B658" s="52"/>
    </row>
    <row r="659" spans="2:2" x14ac:dyDescent="0.25">
      <c r="B659" s="52"/>
    </row>
    <row r="660" spans="2:2" x14ac:dyDescent="0.25">
      <c r="B660" s="52"/>
    </row>
    <row r="661" spans="2:2" x14ac:dyDescent="0.25">
      <c r="B661" s="52"/>
    </row>
    <row r="662" spans="2:2" x14ac:dyDescent="0.25">
      <c r="B662" s="52"/>
    </row>
    <row r="663" spans="2:2" x14ac:dyDescent="0.25">
      <c r="B663" s="52"/>
    </row>
    <row r="664" spans="2:2" x14ac:dyDescent="0.25">
      <c r="B664" s="52"/>
    </row>
    <row r="665" spans="2:2" x14ac:dyDescent="0.25">
      <c r="B665" s="52"/>
    </row>
    <row r="666" spans="2:2" x14ac:dyDescent="0.25">
      <c r="B666" s="52"/>
    </row>
    <row r="667" spans="2:2" x14ac:dyDescent="0.25">
      <c r="B667" s="52"/>
    </row>
    <row r="668" spans="2:2" x14ac:dyDescent="0.25">
      <c r="B668" s="52"/>
    </row>
    <row r="669" spans="2:2" x14ac:dyDescent="0.25">
      <c r="B669" s="52"/>
    </row>
    <row r="670" spans="2:2" x14ac:dyDescent="0.25">
      <c r="B670" s="52"/>
    </row>
    <row r="671" spans="2:2" x14ac:dyDescent="0.25">
      <c r="B671" s="52"/>
    </row>
    <row r="672" spans="2:2" x14ac:dyDescent="0.25">
      <c r="B672" s="52"/>
    </row>
    <row r="673" spans="2:2" x14ac:dyDescent="0.25">
      <c r="B673" s="52"/>
    </row>
    <row r="674" spans="2:2" x14ac:dyDescent="0.25">
      <c r="B674" s="52"/>
    </row>
    <row r="675" spans="2:2" x14ac:dyDescent="0.25">
      <c r="B675" s="52"/>
    </row>
    <row r="676" spans="2:2" x14ac:dyDescent="0.25">
      <c r="B676" s="52"/>
    </row>
    <row r="677" spans="2:2" x14ac:dyDescent="0.25">
      <c r="B677" s="52"/>
    </row>
    <row r="678" spans="2:2" x14ac:dyDescent="0.25">
      <c r="B678" s="52"/>
    </row>
    <row r="679" spans="2:2" x14ac:dyDescent="0.25">
      <c r="B679" s="52"/>
    </row>
    <row r="680" spans="2:2" x14ac:dyDescent="0.25">
      <c r="B680" s="52"/>
    </row>
    <row r="681" spans="2:2" x14ac:dyDescent="0.25">
      <c r="B681" s="52"/>
    </row>
    <row r="682" spans="2:2" x14ac:dyDescent="0.25">
      <c r="B682" s="52"/>
    </row>
    <row r="683" spans="2:2" x14ac:dyDescent="0.25">
      <c r="B683" s="52"/>
    </row>
    <row r="684" spans="2:2" x14ac:dyDescent="0.25">
      <c r="B684" s="52"/>
    </row>
    <row r="685" spans="2:2" x14ac:dyDescent="0.25">
      <c r="B685" s="52"/>
    </row>
    <row r="686" spans="2:2" x14ac:dyDescent="0.25">
      <c r="B686" s="52"/>
    </row>
    <row r="687" spans="2:2" x14ac:dyDescent="0.25">
      <c r="B687" s="52"/>
    </row>
    <row r="688" spans="2:2" x14ac:dyDescent="0.25">
      <c r="B688" s="52"/>
    </row>
    <row r="689" spans="2:2" x14ac:dyDescent="0.25">
      <c r="B689" s="52"/>
    </row>
    <row r="690" spans="2:2" x14ac:dyDescent="0.25">
      <c r="B690" s="52"/>
    </row>
    <row r="691" spans="2:2" x14ac:dyDescent="0.25">
      <c r="B691" s="52"/>
    </row>
    <row r="692" spans="2:2" x14ac:dyDescent="0.25">
      <c r="B692" s="52"/>
    </row>
    <row r="693" spans="2:2" x14ac:dyDescent="0.25">
      <c r="B693" s="52"/>
    </row>
    <row r="694" spans="2:2" x14ac:dyDescent="0.25">
      <c r="B694" s="52"/>
    </row>
    <row r="695" spans="2:2" x14ac:dyDescent="0.25">
      <c r="B695" s="52"/>
    </row>
    <row r="696" spans="2:2" x14ac:dyDescent="0.25">
      <c r="B696" s="52"/>
    </row>
    <row r="697" spans="2:2" x14ac:dyDescent="0.25">
      <c r="B697" s="52"/>
    </row>
    <row r="698" spans="2:2" x14ac:dyDescent="0.25">
      <c r="B698" s="52"/>
    </row>
    <row r="699" spans="2:2" x14ac:dyDescent="0.25">
      <c r="B699" s="52"/>
    </row>
    <row r="700" spans="2:2" x14ac:dyDescent="0.25">
      <c r="B700" s="52"/>
    </row>
    <row r="701" spans="2:2" x14ac:dyDescent="0.25">
      <c r="B701" s="52"/>
    </row>
    <row r="702" spans="2:2" x14ac:dyDescent="0.25">
      <c r="B702" s="52"/>
    </row>
    <row r="703" spans="2:2" x14ac:dyDescent="0.25">
      <c r="B703" s="52"/>
    </row>
    <row r="704" spans="2:2" x14ac:dyDescent="0.25">
      <c r="B704" s="52"/>
    </row>
    <row r="705" spans="2:2" x14ac:dyDescent="0.25">
      <c r="B705" s="52"/>
    </row>
    <row r="706" spans="2:2" x14ac:dyDescent="0.25">
      <c r="B706" s="52"/>
    </row>
    <row r="707" spans="2:2" x14ac:dyDescent="0.25">
      <c r="B707" s="52"/>
    </row>
    <row r="708" spans="2:2" x14ac:dyDescent="0.25">
      <c r="B708" s="52"/>
    </row>
    <row r="709" spans="2:2" x14ac:dyDescent="0.25">
      <c r="B709" s="52"/>
    </row>
    <row r="710" spans="2:2" x14ac:dyDescent="0.25">
      <c r="B710" s="52"/>
    </row>
    <row r="711" spans="2:2" x14ac:dyDescent="0.25">
      <c r="B711" s="52"/>
    </row>
    <row r="712" spans="2:2" x14ac:dyDescent="0.25">
      <c r="B712" s="52"/>
    </row>
    <row r="713" spans="2:2" x14ac:dyDescent="0.25">
      <c r="B713" s="52"/>
    </row>
    <row r="714" spans="2:2" x14ac:dyDescent="0.25">
      <c r="B714" s="52"/>
    </row>
    <row r="715" spans="2:2" x14ac:dyDescent="0.25">
      <c r="B715" s="52"/>
    </row>
    <row r="716" spans="2:2" x14ac:dyDescent="0.25">
      <c r="B716" s="52"/>
    </row>
    <row r="717" spans="2:2" x14ac:dyDescent="0.25">
      <c r="B717" s="52"/>
    </row>
    <row r="718" spans="2:2" x14ac:dyDescent="0.25">
      <c r="B718" s="52"/>
    </row>
    <row r="719" spans="2:2" x14ac:dyDescent="0.25">
      <c r="B719" s="52"/>
    </row>
    <row r="720" spans="2:2" x14ac:dyDescent="0.25">
      <c r="B720" s="52"/>
    </row>
    <row r="721" spans="2:2" x14ac:dyDescent="0.25">
      <c r="B721" s="52"/>
    </row>
    <row r="722" spans="2:2" x14ac:dyDescent="0.25">
      <c r="B722" s="52"/>
    </row>
    <row r="723" spans="2:2" x14ac:dyDescent="0.25">
      <c r="B723" s="52"/>
    </row>
    <row r="724" spans="2:2" x14ac:dyDescent="0.25">
      <c r="B724" s="52"/>
    </row>
    <row r="725" spans="2:2" x14ac:dyDescent="0.25">
      <c r="B725" s="52"/>
    </row>
    <row r="726" spans="2:2" x14ac:dyDescent="0.25">
      <c r="B726" s="52"/>
    </row>
    <row r="727" spans="2:2" x14ac:dyDescent="0.25">
      <c r="B727" s="52"/>
    </row>
    <row r="728" spans="2:2" x14ac:dyDescent="0.25">
      <c r="B728" s="52"/>
    </row>
    <row r="729" spans="2:2" x14ac:dyDescent="0.25">
      <c r="B729" s="52"/>
    </row>
    <row r="730" spans="2:2" x14ac:dyDescent="0.25">
      <c r="B730" s="52"/>
    </row>
    <row r="731" spans="2:2" x14ac:dyDescent="0.25">
      <c r="B731" s="52"/>
    </row>
    <row r="732" spans="2:2" x14ac:dyDescent="0.25">
      <c r="B732" s="52"/>
    </row>
    <row r="733" spans="2:2" x14ac:dyDescent="0.25">
      <c r="B733" s="52"/>
    </row>
    <row r="734" spans="2:2" x14ac:dyDescent="0.25">
      <c r="B734" s="52"/>
    </row>
    <row r="735" spans="2:2" x14ac:dyDescent="0.25">
      <c r="B735" s="52"/>
    </row>
    <row r="736" spans="2:2" x14ac:dyDescent="0.25">
      <c r="B736" s="52"/>
    </row>
    <row r="737" spans="2:2" x14ac:dyDescent="0.25">
      <c r="B737" s="52"/>
    </row>
    <row r="738" spans="2:2" x14ac:dyDescent="0.25">
      <c r="B738" s="52"/>
    </row>
    <row r="739" spans="2:2" x14ac:dyDescent="0.25">
      <c r="B739" s="52"/>
    </row>
    <row r="740" spans="2:2" x14ac:dyDescent="0.25">
      <c r="B740" s="52"/>
    </row>
    <row r="741" spans="2:2" x14ac:dyDescent="0.25">
      <c r="B741" s="52"/>
    </row>
    <row r="742" spans="2:2" x14ac:dyDescent="0.25">
      <c r="B742" s="52"/>
    </row>
    <row r="743" spans="2:2" x14ac:dyDescent="0.25">
      <c r="B743" s="52"/>
    </row>
    <row r="744" spans="2:2" x14ac:dyDescent="0.25">
      <c r="B744" s="52"/>
    </row>
    <row r="745" spans="2:2" x14ac:dyDescent="0.25">
      <c r="B745" s="52"/>
    </row>
    <row r="746" spans="2:2" x14ac:dyDescent="0.25">
      <c r="B746" s="52"/>
    </row>
    <row r="747" spans="2:2" x14ac:dyDescent="0.25">
      <c r="B747" s="52"/>
    </row>
    <row r="748" spans="2:2" x14ac:dyDescent="0.25">
      <c r="B748" s="52"/>
    </row>
    <row r="749" spans="2:2" x14ac:dyDescent="0.25">
      <c r="B749" s="52"/>
    </row>
    <row r="750" spans="2:2" x14ac:dyDescent="0.25">
      <c r="B750" s="52"/>
    </row>
    <row r="751" spans="2:2" x14ac:dyDescent="0.25">
      <c r="B751" s="52"/>
    </row>
    <row r="752" spans="2:2" x14ac:dyDescent="0.25">
      <c r="B752" s="52"/>
    </row>
    <row r="753" spans="2:2" x14ac:dyDescent="0.25">
      <c r="B753" s="52"/>
    </row>
    <row r="754" spans="2:2" x14ac:dyDescent="0.25">
      <c r="B754" s="52"/>
    </row>
    <row r="755" spans="2:2" x14ac:dyDescent="0.25">
      <c r="B755" s="52"/>
    </row>
    <row r="756" spans="2:2" x14ac:dyDescent="0.25">
      <c r="B756" s="52"/>
    </row>
    <row r="757" spans="2:2" x14ac:dyDescent="0.25">
      <c r="B757" s="52"/>
    </row>
    <row r="758" spans="2:2" x14ac:dyDescent="0.25">
      <c r="B758" s="52"/>
    </row>
    <row r="759" spans="2:2" x14ac:dyDescent="0.25">
      <c r="B759" s="52"/>
    </row>
    <row r="760" spans="2:2" x14ac:dyDescent="0.25">
      <c r="B760" s="52"/>
    </row>
    <row r="761" spans="2:2" x14ac:dyDescent="0.25">
      <c r="B761" s="52"/>
    </row>
    <row r="762" spans="2:2" x14ac:dyDescent="0.25">
      <c r="B762" s="52"/>
    </row>
    <row r="763" spans="2:2" x14ac:dyDescent="0.25">
      <c r="B763" s="52"/>
    </row>
    <row r="764" spans="2:2" x14ac:dyDescent="0.25">
      <c r="B764" s="52"/>
    </row>
    <row r="765" spans="2:2" x14ac:dyDescent="0.25">
      <c r="B765" s="52"/>
    </row>
    <row r="766" spans="2:2" x14ac:dyDescent="0.25">
      <c r="B766" s="52"/>
    </row>
    <row r="767" spans="2:2" x14ac:dyDescent="0.25">
      <c r="B767" s="52"/>
    </row>
    <row r="768" spans="2:2" x14ac:dyDescent="0.25">
      <c r="B768" s="52"/>
    </row>
    <row r="769" spans="2:2" x14ac:dyDescent="0.25">
      <c r="B769" s="52"/>
    </row>
    <row r="770" spans="2:2" x14ac:dyDescent="0.25">
      <c r="B770" s="52"/>
    </row>
    <row r="771" spans="2:2" x14ac:dyDescent="0.25">
      <c r="B771" s="52"/>
    </row>
    <row r="772" spans="2:2" x14ac:dyDescent="0.25">
      <c r="B772" s="52"/>
    </row>
    <row r="773" spans="2:2" x14ac:dyDescent="0.25">
      <c r="B773" s="52"/>
    </row>
    <row r="774" spans="2:2" x14ac:dyDescent="0.25">
      <c r="B774" s="52"/>
    </row>
    <row r="775" spans="2:2" x14ac:dyDescent="0.25">
      <c r="B775" s="52"/>
    </row>
    <row r="776" spans="2:2" x14ac:dyDescent="0.25">
      <c r="B776" s="52"/>
    </row>
    <row r="777" spans="2:2" x14ac:dyDescent="0.25">
      <c r="B777" s="52"/>
    </row>
    <row r="778" spans="2:2" x14ac:dyDescent="0.25">
      <c r="B778" s="52"/>
    </row>
    <row r="779" spans="2:2" x14ac:dyDescent="0.25">
      <c r="B779" s="52"/>
    </row>
    <row r="780" spans="2:2" x14ac:dyDescent="0.25">
      <c r="B780" s="52"/>
    </row>
    <row r="781" spans="2:2" x14ac:dyDescent="0.25">
      <c r="B781" s="52"/>
    </row>
    <row r="782" spans="2:2" x14ac:dyDescent="0.25">
      <c r="B782" s="52"/>
    </row>
    <row r="783" spans="2:2" x14ac:dyDescent="0.25">
      <c r="B783" s="52"/>
    </row>
    <row r="784" spans="2:2" x14ac:dyDescent="0.25">
      <c r="B784" s="52"/>
    </row>
    <row r="785" spans="2:2" x14ac:dyDescent="0.25">
      <c r="B785" s="52"/>
    </row>
    <row r="786" spans="2:2" x14ac:dyDescent="0.25">
      <c r="B786" s="52"/>
    </row>
    <row r="787" spans="2:2" x14ac:dyDescent="0.25">
      <c r="B787" s="52"/>
    </row>
    <row r="788" spans="2:2" x14ac:dyDescent="0.25">
      <c r="B788" s="52"/>
    </row>
    <row r="789" spans="2:2" x14ac:dyDescent="0.25">
      <c r="B789" s="52"/>
    </row>
    <row r="790" spans="2:2" x14ac:dyDescent="0.25">
      <c r="B790" s="52"/>
    </row>
    <row r="791" spans="2:2" x14ac:dyDescent="0.25">
      <c r="B791" s="52"/>
    </row>
    <row r="792" spans="2:2" x14ac:dyDescent="0.25">
      <c r="B792" s="52"/>
    </row>
    <row r="793" spans="2:2" x14ac:dyDescent="0.25">
      <c r="B793" s="52"/>
    </row>
    <row r="794" spans="2:2" x14ac:dyDescent="0.25">
      <c r="B794" s="52"/>
    </row>
    <row r="795" spans="2:2" x14ac:dyDescent="0.25">
      <c r="B795" s="52"/>
    </row>
    <row r="796" spans="2:2" x14ac:dyDescent="0.25">
      <c r="B796" s="52"/>
    </row>
    <row r="797" spans="2:2" x14ac:dyDescent="0.25">
      <c r="B797" s="52"/>
    </row>
    <row r="798" spans="2:2" x14ac:dyDescent="0.25">
      <c r="B798" s="52"/>
    </row>
    <row r="799" spans="2:2" x14ac:dyDescent="0.25">
      <c r="B799" s="52"/>
    </row>
    <row r="800" spans="2:2" x14ac:dyDescent="0.25">
      <c r="B800" s="52"/>
    </row>
    <row r="801" spans="2:2" x14ac:dyDescent="0.25">
      <c r="B801" s="52"/>
    </row>
    <row r="802" spans="2:2" x14ac:dyDescent="0.25">
      <c r="B802" s="52"/>
    </row>
    <row r="803" spans="2:2" x14ac:dyDescent="0.25">
      <c r="B803" s="52"/>
    </row>
    <row r="804" spans="2:2" x14ac:dyDescent="0.25">
      <c r="B804" s="52"/>
    </row>
    <row r="805" spans="2:2" x14ac:dyDescent="0.25">
      <c r="B805" s="52"/>
    </row>
    <row r="806" spans="2:2" x14ac:dyDescent="0.25">
      <c r="B806" s="52"/>
    </row>
    <row r="807" spans="2:2" x14ac:dyDescent="0.25">
      <c r="B807" s="52"/>
    </row>
    <row r="808" spans="2:2" x14ac:dyDescent="0.25">
      <c r="B808" s="52"/>
    </row>
    <row r="809" spans="2:2" x14ac:dyDescent="0.25">
      <c r="B809" s="52"/>
    </row>
    <row r="810" spans="2:2" x14ac:dyDescent="0.25">
      <c r="B810" s="52"/>
    </row>
    <row r="811" spans="2:2" x14ac:dyDescent="0.25">
      <c r="B811" s="52"/>
    </row>
    <row r="812" spans="2:2" x14ac:dyDescent="0.25">
      <c r="B812" s="52"/>
    </row>
    <row r="813" spans="2:2" x14ac:dyDescent="0.25">
      <c r="B813" s="52"/>
    </row>
    <row r="814" spans="2:2" x14ac:dyDescent="0.25">
      <c r="B814" s="52"/>
    </row>
    <row r="815" spans="2:2" x14ac:dyDescent="0.25">
      <c r="B815" s="52"/>
    </row>
    <row r="816" spans="2:2" x14ac:dyDescent="0.25">
      <c r="B816" s="52"/>
    </row>
    <row r="817" spans="2:2" x14ac:dyDescent="0.25">
      <c r="B817" s="52"/>
    </row>
    <row r="818" spans="2:2" x14ac:dyDescent="0.25">
      <c r="B818" s="52"/>
    </row>
    <row r="819" spans="2:2" x14ac:dyDescent="0.25">
      <c r="B819" s="52"/>
    </row>
    <row r="820" spans="2:2" x14ac:dyDescent="0.25">
      <c r="B820" s="52"/>
    </row>
    <row r="821" spans="2:2" x14ac:dyDescent="0.25">
      <c r="B821" s="52"/>
    </row>
    <row r="822" spans="2:2" x14ac:dyDescent="0.25">
      <c r="B822" s="52"/>
    </row>
    <row r="823" spans="2:2" x14ac:dyDescent="0.25">
      <c r="B823" s="52"/>
    </row>
    <row r="824" spans="2:2" x14ac:dyDescent="0.25">
      <c r="B824" s="52"/>
    </row>
    <row r="825" spans="2:2" x14ac:dyDescent="0.25">
      <c r="B825" s="52"/>
    </row>
  </sheetData>
  <mergeCells count="19">
    <mergeCell ref="H3:I3"/>
    <mergeCell ref="H4:I4"/>
    <mergeCell ref="G3:G4"/>
    <mergeCell ref="A1:B2"/>
    <mergeCell ref="A3:B4"/>
    <mergeCell ref="M1:M2"/>
    <mergeCell ref="J1:J2"/>
    <mergeCell ref="E1:E2"/>
    <mergeCell ref="F1:F2"/>
    <mergeCell ref="G1:G2"/>
    <mergeCell ref="J3:J4"/>
    <mergeCell ref="K3:L4"/>
    <mergeCell ref="M3:M4"/>
    <mergeCell ref="H1:I2"/>
    <mergeCell ref="C1:D2"/>
    <mergeCell ref="K1:L2"/>
    <mergeCell ref="F3:F4"/>
    <mergeCell ref="C3:D3"/>
    <mergeCell ref="C4:D4"/>
  </mergeCells>
  <printOptions horizontalCentered="1" verticalCentered="1"/>
  <pageMargins left="0.25" right="0.25" top="0.5" bottom="0.5" header="0.25" footer="0.25"/>
  <pageSetup paperSize="5" scale="68" orientation="landscape" r:id="rId1"/>
  <headerFooter scaleWithDoc="0" alignWithMargins="0">
    <oddHeader>&amp;R&amp;A</oddHeader>
    <oddFooter>&amp;L&amp;F&amp;R&amp;D</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3816-D1FB-4D76-8CD6-2B808AEAC984}">
  <sheetPr>
    <tabColor theme="3" tint="0.79998168889431442"/>
    <pageSetUpPr fitToPage="1"/>
  </sheetPr>
  <dimension ref="A1:O35"/>
  <sheetViews>
    <sheetView showZeros="0" zoomScaleNormal="100" workbookViewId="0">
      <selection activeCell="D35" sqref="D35"/>
    </sheetView>
  </sheetViews>
  <sheetFormatPr defaultColWidth="9.140625" defaultRowHeight="15" x14ac:dyDescent="0.25"/>
  <cols>
    <col min="1" max="1" width="14" style="33" customWidth="1"/>
    <col min="2" max="2" width="50.7109375" style="33" bestFit="1" customWidth="1"/>
    <col min="3" max="4" width="14.28515625" style="69" customWidth="1"/>
    <col min="5" max="8" width="14.28515625" style="70" customWidth="1"/>
    <col min="9" max="14" width="14.28515625" style="69" customWidth="1"/>
    <col min="15" max="15" width="8.85546875" style="33" bestFit="1" customWidth="1"/>
    <col min="16" max="16" width="5" style="33" customWidth="1"/>
    <col min="17" max="16384" width="9.140625" style="33"/>
  </cols>
  <sheetData>
    <row r="1" spans="1:15" x14ac:dyDescent="0.25">
      <c r="A1" s="130" t="s">
        <v>203</v>
      </c>
      <c r="B1" s="130"/>
      <c r="C1" s="130" t="s">
        <v>165</v>
      </c>
      <c r="D1" s="130"/>
      <c r="E1" s="130"/>
      <c r="F1" s="132" t="s">
        <v>202</v>
      </c>
      <c r="G1" s="132"/>
      <c r="H1" s="132"/>
      <c r="I1" s="132"/>
      <c r="J1" s="132"/>
      <c r="K1" s="132"/>
    </row>
    <row r="2" spans="1:15" ht="18.75" customHeight="1" x14ac:dyDescent="0.25">
      <c r="A2" s="131"/>
      <c r="B2" s="131"/>
      <c r="C2" s="131"/>
      <c r="D2" s="131"/>
      <c r="E2" s="131"/>
      <c r="F2" s="133"/>
      <c r="G2" s="133"/>
      <c r="H2" s="133"/>
      <c r="I2" s="133"/>
      <c r="J2" s="133"/>
      <c r="K2" s="133"/>
    </row>
    <row r="3" spans="1:15" x14ac:dyDescent="0.25">
      <c r="A3" s="129"/>
      <c r="B3" s="129"/>
      <c r="C3" s="127" t="s">
        <v>131</v>
      </c>
      <c r="D3" s="127"/>
      <c r="E3" s="127"/>
      <c r="F3" s="128" t="s">
        <v>132</v>
      </c>
      <c r="G3" s="128"/>
      <c r="H3" s="128"/>
      <c r="I3" s="128"/>
      <c r="J3" s="128"/>
      <c r="K3" s="128"/>
      <c r="L3" s="127" t="s">
        <v>160</v>
      </c>
      <c r="M3" s="127"/>
      <c r="N3" s="127"/>
    </row>
    <row r="4" spans="1:15" ht="48" customHeight="1" x14ac:dyDescent="0.25">
      <c r="A4" s="34" t="s">
        <v>63</v>
      </c>
      <c r="B4" s="34" t="s">
        <v>0</v>
      </c>
      <c r="C4" s="58" t="s">
        <v>133</v>
      </c>
      <c r="D4" s="58" t="s">
        <v>134</v>
      </c>
      <c r="E4" s="58" t="s">
        <v>135</v>
      </c>
      <c r="F4" s="59" t="s">
        <v>136</v>
      </c>
      <c r="G4" s="60" t="s">
        <v>137</v>
      </c>
      <c r="H4" s="60" t="s">
        <v>138</v>
      </c>
      <c r="I4" s="60" t="s">
        <v>139</v>
      </c>
      <c r="J4" s="60" t="s">
        <v>140</v>
      </c>
      <c r="K4" s="60" t="s">
        <v>141</v>
      </c>
      <c r="L4" s="61" t="s">
        <v>142</v>
      </c>
      <c r="M4" s="61" t="s">
        <v>143</v>
      </c>
      <c r="N4" s="61" t="s">
        <v>144</v>
      </c>
    </row>
    <row r="5" spans="1:15" x14ac:dyDescent="0.25">
      <c r="A5" s="35" t="s">
        <v>115</v>
      </c>
      <c r="B5" s="36" t="str">
        <f>_xlfn.XLOOKUP(COSTSHARE[[#This Row],[CECRIS PIN]],CECPINDATA[CECRIS PIN],CECPINDATA[Program Name])</f>
        <v>PROB PUBLIC AGENCY IVE PASS THROUGH</v>
      </c>
      <c r="C5" s="37">
        <f>_xlfn.XLOOKUP(COSTSHARE[[#This Row],[CECRIS PIN]],COSTCALC[CECRIS PIN],COSTCALC[Total Program Cost])</f>
        <v>0</v>
      </c>
      <c r="D5" s="38">
        <f>_xlfn.XLOOKUP(COSTSHARE[[#This Row],[CECRIS PIN]],COSTCALC[CECRIS PIN],COSTCALC[Federal Cost])</f>
        <v>0</v>
      </c>
      <c r="E5" s="38">
        <f>COSTSHARE[[#This Row],[Total Cost]]-COSTSHARE[[#This Row],[Fed Eligible
Cost]]</f>
        <v>0</v>
      </c>
      <c r="F5" s="39">
        <f>COSTSHARE[[#This Row],[Fed Eligible
Cost]]*_xlfn.XLOOKUP(COSTSHARE[[#This Row],[CECRIS PIN]],CECPINDATA[CECRIS PIN],CECPINDATA[Fed %])</f>
        <v>0</v>
      </c>
      <c r="G5" s="39">
        <f>COSTSHARE[[#This Row],[Fed Eligible
Cost]]*_xlfn.XLOOKUP(COSTSHARE[[#This Row],[CECRIS PIN]],CECPINDATA[CECRIS PIN],CECPINDATA[State%])</f>
        <v>0</v>
      </c>
      <c r="H5" s="40">
        <f>COSTSHARE[[#This Row],[Fed Eligible
Cost]]*_xlfn.XLOOKUP(COSTSHARE[[#This Row],[CECRIS PIN]],CECPINDATA[CECRIS PIN],CECPINDATA[County %])</f>
        <v>0</v>
      </c>
      <c r="I5" s="40">
        <f>IFERROR(_xlfn.XLOOKUP(COSTSHARE[[#This Row],[CECRIS PIN]],COSTCALC[Residual of PIN],COSTCALC[NonFed Cost Claimed])*_xlfn.XLOOKUP(COSTSHARE[[#This Row],[CECRIS PIN]],CECPINDATA[Non Fed Residual Of],CECPINDATA[Fed %]),0)</f>
        <v>0</v>
      </c>
      <c r="J5" s="40">
        <f>IFERROR(_xlfn.XLOOKUP(COSTSHARE[[#This Row],[CECRIS PIN]],COSTCALC[Residual of PIN],COSTCALC[NonFed Cost Claimed])*_xlfn.XLOOKUP(COSTSHARE[[#This Row],[CECRIS PIN]],CECPINDATA[Non Fed Residual Of],CECPINDATA[State%]),0)</f>
        <v>0</v>
      </c>
      <c r="K5" s="40">
        <f>COSTSHARE[[#This Row],[Non-Fed Eligible Cost]]-COSTSHARE[[#This Row],[State Share
Non Elig Cost]]</f>
        <v>0</v>
      </c>
      <c r="L5" s="41">
        <f>COSTSHARE[[#This Row],[Fed Share
Elig Cost]]+COSTSHARE[[#This Row],[Fed Share
Non Elig Cost]]</f>
        <v>0</v>
      </c>
      <c r="M5" s="41">
        <f>COSTSHARE[[#This Row],[State Share
Elig Cost]]+COSTSHARE[[#This Row],[State Share
Non Elig Cost]]</f>
        <v>0</v>
      </c>
      <c r="N5" s="41">
        <f>COSTSHARE[[#This Row],[County Share
Elig Cost]]+COSTSHARE[[#This Row],[County Share
Non Elig Cost]]</f>
        <v>0</v>
      </c>
      <c r="O5" s="42">
        <f>COSTSHARE[[#This Row],[Total Cost]]-COSTSHARE[[#This Row],[Total Fed]]-COSTSHARE[[#This Row],[Total State]]-COSTSHARE[[#This Row],[Total County]]</f>
        <v>0</v>
      </c>
    </row>
    <row r="6" spans="1:15" x14ac:dyDescent="0.25">
      <c r="A6" s="35" t="s">
        <v>27</v>
      </c>
      <c r="B6" s="36" t="str">
        <f>_xlfn.XLOOKUP(COSTSHARE[[#This Row],[CECRIS PIN]],CECPINDATA[CECRIS PIN],CECPINDATA[Program Name])</f>
        <v>PROB IVE CASE MANAGEMENT</v>
      </c>
      <c r="C6" s="62">
        <f>_xlfn.XLOOKUP(COSTSHARE[[#This Row],[CECRIS PIN]],COSTCALC[CECRIS PIN],COSTCALC[Total Program Cost])</f>
        <v>0</v>
      </c>
      <c r="D6" s="63">
        <f>_xlfn.XLOOKUP(COSTSHARE[[#This Row],[CECRIS PIN]],COSTCALC[CECRIS PIN],COSTCALC[Federal Cost])</f>
        <v>0</v>
      </c>
      <c r="E6" s="63">
        <f>COSTSHARE[[#This Row],[Total Cost]]-COSTSHARE[[#This Row],[Fed Eligible
Cost]]</f>
        <v>0</v>
      </c>
      <c r="F6" s="64">
        <f>COSTSHARE[[#This Row],[Fed Eligible
Cost]]*_xlfn.XLOOKUP(COSTSHARE[[#This Row],[CECRIS PIN]],CECPINDATA[CECRIS PIN],CECPINDATA[Fed %])</f>
        <v>0</v>
      </c>
      <c r="G6" s="64">
        <f>COSTSHARE[[#This Row],[Fed Eligible
Cost]]*_xlfn.XLOOKUP(COSTSHARE[[#This Row],[CECRIS PIN]],CECPINDATA[CECRIS PIN],CECPINDATA[State%])</f>
        <v>0</v>
      </c>
      <c r="H6" s="65">
        <f>COSTSHARE[[#This Row],[Fed Eligible
Cost]]*_xlfn.XLOOKUP(COSTSHARE[[#This Row],[CECRIS PIN]],CECPINDATA[CECRIS PIN],CECPINDATA[County %])</f>
        <v>0</v>
      </c>
      <c r="I6" s="65">
        <f>IFERROR(_xlfn.XLOOKUP(COSTSHARE[[#This Row],[CECRIS PIN]],COSTCALC[Residual of PIN],COSTCALC[NonFed Cost Claimed])*_xlfn.XLOOKUP(COSTSHARE[[#This Row],[CECRIS PIN]],CECPINDATA[Non Fed Residual Of],CECPINDATA[Fed %]),0)</f>
        <v>0</v>
      </c>
      <c r="J6" s="65">
        <f>IFERROR(_xlfn.XLOOKUP(COSTSHARE[[#This Row],[CECRIS PIN]],COSTCALC[Residual of PIN],COSTCALC[NonFed Cost Claimed])*_xlfn.XLOOKUP(COSTSHARE[[#This Row],[CECRIS PIN]],CECPINDATA[Non Fed Residual Of],CECPINDATA[State%]),0)</f>
        <v>0</v>
      </c>
      <c r="K6" s="65">
        <f>COSTSHARE[[#This Row],[Non-Fed Eligible Cost]]-COSTSHARE[[#This Row],[State Share
Non Elig Cost]]</f>
        <v>0</v>
      </c>
      <c r="L6" s="66">
        <f>COSTSHARE[[#This Row],[Fed Share
Elig Cost]]+COSTSHARE[[#This Row],[Fed Share
Non Elig Cost]]</f>
        <v>0</v>
      </c>
      <c r="M6" s="66">
        <f>COSTSHARE[[#This Row],[State Share
Elig Cost]]+COSTSHARE[[#This Row],[State Share
Non Elig Cost]]</f>
        <v>0</v>
      </c>
      <c r="N6" s="66">
        <f>COSTSHARE[[#This Row],[County Share
Elig Cost]]+COSTSHARE[[#This Row],[County Share
Non Elig Cost]]</f>
        <v>0</v>
      </c>
      <c r="O6" s="42">
        <f>COSTSHARE[[#This Row],[Total Cost]]-COSTSHARE[[#This Row],[Total Fed]]-COSTSHARE[[#This Row],[Total State]]-COSTSHARE[[#This Row],[Total County]]</f>
        <v>0</v>
      </c>
    </row>
    <row r="7" spans="1:15" x14ac:dyDescent="0.25">
      <c r="A7" s="43" t="s">
        <v>29</v>
      </c>
      <c r="B7" s="44" t="str">
        <f>_xlfn.XLOOKUP(COSTSHARE[[#This Row],[CECRIS PIN]],CECPINDATA[CECRIS PIN],CECPINDATA[Program Name])</f>
        <v>PROB IVE PRE PLACEMENT PREV</v>
      </c>
      <c r="C7" s="63">
        <f>_xlfn.XLOOKUP(COSTSHARE[[#This Row],[CECRIS PIN]],COSTCALC[CECRIS PIN],COSTCALC[Total Program Cost])</f>
        <v>0</v>
      </c>
      <c r="D7" s="63">
        <f>_xlfn.XLOOKUP(COSTSHARE[[#This Row],[CECRIS PIN]],COSTCALC[CECRIS PIN],COSTCALC[Federal Cost])</f>
        <v>0</v>
      </c>
      <c r="E7" s="63">
        <f>COSTSHARE[[#This Row],[Total Cost]]-COSTSHARE[[#This Row],[Fed Eligible
Cost]]</f>
        <v>0</v>
      </c>
      <c r="F7" s="67">
        <f>COSTSHARE[[#This Row],[Fed Eligible
Cost]]*_xlfn.XLOOKUP(COSTSHARE[[#This Row],[CECRIS PIN]],CECPINDATA[CECRIS PIN],CECPINDATA[Fed %])</f>
        <v>0</v>
      </c>
      <c r="G7" s="67">
        <f>COSTSHARE[[#This Row],[Fed Eligible
Cost]]*_xlfn.XLOOKUP(COSTSHARE[[#This Row],[CECRIS PIN]],CECPINDATA[CECRIS PIN],CECPINDATA[State%])</f>
        <v>0</v>
      </c>
      <c r="H7" s="67">
        <f>COSTSHARE[[#This Row],[Fed Eligible
Cost]]*_xlfn.XLOOKUP(COSTSHARE[[#This Row],[CECRIS PIN]],CECPINDATA[CECRIS PIN],CECPINDATA[County %])</f>
        <v>0</v>
      </c>
      <c r="I7" s="64">
        <f>IFERROR(_xlfn.XLOOKUP(COSTSHARE[[#This Row],[CECRIS PIN]],COSTCALC[Residual of PIN],COSTCALC[NonFed Cost Claimed])*_xlfn.XLOOKUP(COSTSHARE[[#This Row],[CECRIS PIN]],CECPINDATA[Non Fed Residual Of],CECPINDATA[Fed %]),0)</f>
        <v>0</v>
      </c>
      <c r="J7" s="64">
        <f>IFERROR(_xlfn.XLOOKUP(COSTSHARE[[#This Row],[CECRIS PIN]],COSTCALC[Residual of PIN],COSTCALC[NonFed Cost Claimed])*_xlfn.XLOOKUP(COSTSHARE[[#This Row],[CECRIS PIN]],CECPINDATA[Non Fed Residual Of],CECPINDATA[State%]),0)</f>
        <v>0</v>
      </c>
      <c r="K7" s="64">
        <f>COSTSHARE[[#This Row],[Non-Fed Eligible Cost]]-COSTSHARE[[#This Row],[State Share
Non Elig Cost]]</f>
        <v>0</v>
      </c>
      <c r="L7" s="68">
        <f>COSTSHARE[[#This Row],[Fed Share
Elig Cost]]+COSTSHARE[[#This Row],[Fed Share
Non Elig Cost]]</f>
        <v>0</v>
      </c>
      <c r="M7" s="68">
        <f>COSTSHARE[[#This Row],[State Share
Elig Cost]]+COSTSHARE[[#This Row],[State Share
Non Elig Cost]]</f>
        <v>0</v>
      </c>
      <c r="N7" s="68">
        <f>COSTSHARE[[#This Row],[County Share
Elig Cost]]+COSTSHARE[[#This Row],[County Share
Non Elig Cost]]</f>
        <v>0</v>
      </c>
      <c r="O7" s="42">
        <f>COSTSHARE[[#This Row],[Total Cost]]-COSTSHARE[[#This Row],[Total Fed]]-COSTSHARE[[#This Row],[Total State]]-COSTSHARE[[#This Row],[Total County]]</f>
        <v>0</v>
      </c>
    </row>
    <row r="8" spans="1:15" x14ac:dyDescent="0.25">
      <c r="A8" s="43" t="s">
        <v>31</v>
      </c>
      <c r="B8" s="44" t="str">
        <f>_xlfn.XLOOKUP(COSTSHARE[[#This Row],[CECRIS PIN]],CECPINDATA[CECRIS PIN],CECPINDATA[Program Name])</f>
        <v>PROB IVE TRAINING</v>
      </c>
      <c r="C8" s="63">
        <f>_xlfn.XLOOKUP(COSTSHARE[[#This Row],[CECRIS PIN]],COSTCALC[CECRIS PIN],COSTCALC[Total Program Cost])</f>
        <v>53850.167807721038</v>
      </c>
      <c r="D8" s="63">
        <f>_xlfn.XLOOKUP(COSTSHARE[[#This Row],[CECRIS PIN]],COSTCALC[CECRIS PIN],COSTCALC[Federal Cost])</f>
        <v>33915.266486645174</v>
      </c>
      <c r="E8" s="63">
        <f>COSTSHARE[[#This Row],[Total Cost]]-COSTSHARE[[#This Row],[Fed Eligible
Cost]]</f>
        <v>19934.901321075864</v>
      </c>
      <c r="F8" s="64">
        <f>COSTSHARE[[#This Row],[Fed Eligible
Cost]]*_xlfn.XLOOKUP(COSTSHARE[[#This Row],[CECRIS PIN]],CECPINDATA[CECRIS PIN],CECPINDATA[Fed %])</f>
        <v>25436.449864983879</v>
      </c>
      <c r="G8" s="67">
        <f>COSTSHARE[[#This Row],[Fed Eligible
Cost]]*_xlfn.XLOOKUP(COSTSHARE[[#This Row],[CECRIS PIN]],CECPINDATA[CECRIS PIN],CECPINDATA[State%])</f>
        <v>0</v>
      </c>
      <c r="H8" s="64">
        <f>COSTSHARE[[#This Row],[Fed Eligible
Cost]]*_xlfn.XLOOKUP(COSTSHARE[[#This Row],[CECRIS PIN]],CECPINDATA[CECRIS PIN],CECPINDATA[County %])</f>
        <v>8478.8166216612935</v>
      </c>
      <c r="I8" s="64">
        <f>IFERROR(_xlfn.XLOOKUP(COSTSHARE[[#This Row],[CECRIS PIN]],COSTCALC[Residual of PIN],COSTCALC[NonFed Cost Claimed])*_xlfn.XLOOKUP(COSTSHARE[[#This Row],[CECRIS PIN]],CECPINDATA[Non Fed Residual Of],CECPINDATA[Fed %]),0)</f>
        <v>0</v>
      </c>
      <c r="J8" s="64">
        <f>IFERROR(_xlfn.XLOOKUP(COSTSHARE[[#This Row],[CECRIS PIN]],COSTCALC[Residual of PIN],COSTCALC[NonFed Cost Claimed])*_xlfn.XLOOKUP(COSTSHARE[[#This Row],[CECRIS PIN]],CECPINDATA[Non Fed Residual Of],CECPINDATA[State%]),0)</f>
        <v>0</v>
      </c>
      <c r="K8" s="64">
        <f>COSTSHARE[[#This Row],[Non-Fed Eligible Cost]]-COSTSHARE[[#This Row],[State Share
Non Elig Cost]]</f>
        <v>19934.901321075864</v>
      </c>
      <c r="L8" s="68">
        <f>COSTSHARE[[#This Row],[Fed Share
Elig Cost]]+COSTSHARE[[#This Row],[Fed Share
Non Elig Cost]]</f>
        <v>25436.449864983879</v>
      </c>
      <c r="M8" s="68">
        <f>COSTSHARE[[#This Row],[State Share
Elig Cost]]+COSTSHARE[[#This Row],[State Share
Non Elig Cost]]</f>
        <v>0</v>
      </c>
      <c r="N8" s="68">
        <f>COSTSHARE[[#This Row],[County Share
Elig Cost]]+COSTSHARE[[#This Row],[County Share
Non Elig Cost]]</f>
        <v>28413.717942737159</v>
      </c>
      <c r="O8" s="42">
        <f>COSTSHARE[[#This Row],[Total Cost]]-COSTSHARE[[#This Row],[Total Fed]]-COSTSHARE[[#This Row],[Total State]]-COSTSHARE[[#This Row],[Total County]]</f>
        <v>0</v>
      </c>
    </row>
    <row r="9" spans="1:15" x14ac:dyDescent="0.25">
      <c r="A9" s="43" t="s">
        <v>33</v>
      </c>
      <c r="B9" s="44" t="str">
        <f>_xlfn.XLOOKUP(COSTSHARE[[#This Row],[CECRIS PIN]],CECPINDATA[CECRIS PIN],CECPINDATA[Program Name])</f>
        <v>PROB FED TRAINING PREVENT SEX TRAFFICKING</v>
      </c>
      <c r="C9" s="38">
        <f>_xlfn.XLOOKUP(COSTSHARE[[#This Row],[CECRIS PIN]],COSTCALC[CECRIS PIN],COSTCALC[Total Program Cost])</f>
        <v>0</v>
      </c>
      <c r="D9" s="38">
        <f>_xlfn.XLOOKUP(COSTSHARE[[#This Row],[CECRIS PIN]],COSTCALC[CECRIS PIN],COSTCALC[Federal Cost])</f>
        <v>0</v>
      </c>
      <c r="E9" s="38">
        <f>COSTSHARE[[#This Row],[Total Cost]]-COSTSHARE[[#This Row],[Fed Eligible
Cost]]</f>
        <v>0</v>
      </c>
      <c r="F9" s="39">
        <f>COSTSHARE[[#This Row],[Fed Eligible
Cost]]*_xlfn.XLOOKUP(COSTSHARE[[#This Row],[CECRIS PIN]],CECPINDATA[CECRIS PIN],CECPINDATA[Fed %])</f>
        <v>0</v>
      </c>
      <c r="G9" s="45">
        <f>COSTSHARE[[#This Row],[Fed Eligible
Cost]]*_xlfn.XLOOKUP(COSTSHARE[[#This Row],[CECRIS PIN]],CECPINDATA[CECRIS PIN],CECPINDATA[State%])</f>
        <v>0</v>
      </c>
      <c r="H9" s="39">
        <f>COSTSHARE[[#This Row],[Fed Eligible
Cost]]*_xlfn.XLOOKUP(COSTSHARE[[#This Row],[CECRIS PIN]],CECPINDATA[CECRIS PIN],CECPINDATA[County %])</f>
        <v>0</v>
      </c>
      <c r="I9" s="39">
        <f>IFERROR(_xlfn.XLOOKUP(COSTSHARE[[#This Row],[CECRIS PIN]],COSTCALC[Residual of PIN],COSTCALC[NonFed Cost Claimed])*_xlfn.XLOOKUP(COSTSHARE[[#This Row],[CECRIS PIN]],CECPINDATA[Non Fed Residual Of],CECPINDATA[Fed %]),0)</f>
        <v>0</v>
      </c>
      <c r="J9" s="39">
        <f>IFERROR(_xlfn.XLOOKUP(COSTSHARE[[#This Row],[CECRIS PIN]],COSTCALC[Residual of PIN],COSTCALC[NonFed Cost Claimed])*_xlfn.XLOOKUP(COSTSHARE[[#This Row],[CECRIS PIN]],CECPINDATA[Non Fed Residual Of],CECPINDATA[State%]),0)</f>
        <v>0</v>
      </c>
      <c r="K9" s="39">
        <f>COSTSHARE[[#This Row],[Non-Fed Eligible Cost]]-COSTSHARE[[#This Row],[State Share
Non Elig Cost]]</f>
        <v>0</v>
      </c>
      <c r="L9" s="46">
        <f>COSTSHARE[[#This Row],[Fed Share
Elig Cost]]+COSTSHARE[[#This Row],[Fed Share
Non Elig Cost]]</f>
        <v>0</v>
      </c>
      <c r="M9" s="46">
        <f>COSTSHARE[[#This Row],[State Share
Elig Cost]]+COSTSHARE[[#This Row],[State Share
Non Elig Cost]]</f>
        <v>0</v>
      </c>
      <c r="N9" s="46">
        <f>COSTSHARE[[#This Row],[County Share
Elig Cost]]+COSTSHARE[[#This Row],[County Share
Non Elig Cost]]</f>
        <v>0</v>
      </c>
      <c r="O9" s="42">
        <f>COSTSHARE[[#This Row],[Total Cost]]-COSTSHARE[[#This Row],[Total Fed]]-COSTSHARE[[#This Row],[Total State]]-COSTSHARE[[#This Row],[Total County]]</f>
        <v>0</v>
      </c>
    </row>
    <row r="10" spans="1:15" x14ac:dyDescent="0.25">
      <c r="A10" s="47" t="s">
        <v>117</v>
      </c>
      <c r="B10" s="44" t="str">
        <f>_xlfn.XLOOKUP(COSTSHARE[[#This Row],[CECRIS PIN]],CECPINDATA[CECRIS PIN],CECPINDATA[Program Name])</f>
        <v>PROB HBFC LOCP FED</v>
      </c>
      <c r="C10" s="38">
        <f>_xlfn.XLOOKUP(COSTSHARE[[#This Row],[CECRIS PIN]],COSTCALC[CECRIS PIN],COSTCALC[Total Program Cost])</f>
        <v>0</v>
      </c>
      <c r="D10" s="38">
        <f>_xlfn.XLOOKUP(COSTSHARE[[#This Row],[CECRIS PIN]],COSTCALC[CECRIS PIN],COSTCALC[Federal Cost])</f>
        <v>0</v>
      </c>
      <c r="E10" s="38">
        <f>COSTSHARE[[#This Row],[Total Cost]]-COSTSHARE[[#This Row],[Fed Eligible
Cost]]</f>
        <v>0</v>
      </c>
      <c r="F10" s="39">
        <f>COSTSHARE[[#This Row],[Fed Eligible
Cost]]*_xlfn.XLOOKUP(COSTSHARE[[#This Row],[CECRIS PIN]],CECPINDATA[CECRIS PIN],CECPINDATA[Fed %])</f>
        <v>0</v>
      </c>
      <c r="G10" s="45">
        <f>COSTSHARE[[#This Row],[Fed Eligible
Cost]]*_xlfn.XLOOKUP(COSTSHARE[[#This Row],[CECRIS PIN]],CECPINDATA[CECRIS PIN],CECPINDATA[State%])</f>
        <v>0</v>
      </c>
      <c r="H10" s="39">
        <f>COSTSHARE[[#This Row],[Fed Eligible
Cost]]*_xlfn.XLOOKUP(COSTSHARE[[#This Row],[CECRIS PIN]],CECPINDATA[CECRIS PIN],CECPINDATA[County %])</f>
        <v>0</v>
      </c>
      <c r="I10" s="39">
        <f>IFERROR(_xlfn.XLOOKUP(COSTSHARE[[#This Row],[CECRIS PIN]],COSTCALC[Residual of PIN],COSTCALC[NonFed Cost Claimed])*_xlfn.XLOOKUP(COSTSHARE[[#This Row],[CECRIS PIN]],CECPINDATA[Non Fed Residual Of],CECPINDATA[Fed %]),0)</f>
        <v>0</v>
      </c>
      <c r="J10" s="39">
        <f>IFERROR(_xlfn.XLOOKUP(COSTSHARE[[#This Row],[CECRIS PIN]],COSTCALC[Residual of PIN],COSTCALC[NonFed Cost Claimed])*_xlfn.XLOOKUP(COSTSHARE[[#This Row],[CECRIS PIN]],CECPINDATA[Non Fed Residual Of],CECPINDATA[State%]),0)</f>
        <v>0</v>
      </c>
      <c r="K10" s="39">
        <f>COSTSHARE[[#This Row],[Non-Fed Eligible Cost]]-COSTSHARE[[#This Row],[State Share
Non Elig Cost]]</f>
        <v>0</v>
      </c>
      <c r="L10" s="46">
        <f>COSTSHARE[[#This Row],[Fed Share
Elig Cost]]+COSTSHARE[[#This Row],[Fed Share
Non Elig Cost]]</f>
        <v>0</v>
      </c>
      <c r="M10" s="46">
        <f>COSTSHARE[[#This Row],[State Share
Elig Cost]]+COSTSHARE[[#This Row],[State Share
Non Elig Cost]]</f>
        <v>0</v>
      </c>
      <c r="N10" s="46">
        <f>COSTSHARE[[#This Row],[County Share
Elig Cost]]+COSTSHARE[[#This Row],[County Share
Non Elig Cost]]</f>
        <v>0</v>
      </c>
      <c r="O10" s="42">
        <f>COSTSHARE[[#This Row],[Total Cost]]-COSTSHARE[[#This Row],[Total Fed]]-COSTSHARE[[#This Row],[Total State]]-COSTSHARE[[#This Row],[Total County]]</f>
        <v>0</v>
      </c>
    </row>
    <row r="11" spans="1:15" x14ac:dyDescent="0.25">
      <c r="A11" s="43" t="s">
        <v>35</v>
      </c>
      <c r="B11" s="44" t="str">
        <f>_xlfn.XLOOKUP(COSTSHARE[[#This Row],[CECRIS PIN]],CECPINDATA[CECRIS PIN],CECPINDATA[Program Name])</f>
        <v>PROB MONTHLY VISITS/GROUP HOMES</v>
      </c>
      <c r="C11" s="63">
        <f>_xlfn.XLOOKUP(COSTSHARE[[#This Row],[CECRIS PIN]],COSTCALC[CECRIS PIN],COSTCALC[Total Program Cost])</f>
        <v>127416.17219304798</v>
      </c>
      <c r="D11" s="63">
        <f>_xlfn.XLOOKUP(COSTSHARE[[#This Row],[CECRIS PIN]],COSTCALC[CECRIS PIN],COSTCALC[Federal Cost])</f>
        <v>80247.724576559165</v>
      </c>
      <c r="E11" s="63">
        <f>COSTSHARE[[#This Row],[Total Cost]]-COSTSHARE[[#This Row],[Fed Eligible
Cost]]</f>
        <v>47168.447616488818</v>
      </c>
      <c r="F11" s="64">
        <f>COSTSHARE[[#This Row],[Fed Eligible
Cost]]*_xlfn.XLOOKUP(COSTSHARE[[#This Row],[CECRIS PIN]],CECPINDATA[CECRIS PIN],CECPINDATA[Fed %])</f>
        <v>40123.862288279583</v>
      </c>
      <c r="G11" s="64">
        <f>COSTSHARE[[#This Row],[Fed Eligible
Cost]]*_xlfn.XLOOKUP(COSTSHARE[[#This Row],[CECRIS PIN]],CECPINDATA[CECRIS PIN],CECPINDATA[State%])</f>
        <v>40123.862288279583</v>
      </c>
      <c r="H11" s="64">
        <f>COSTSHARE[[#This Row],[Fed Eligible
Cost]]*_xlfn.XLOOKUP(COSTSHARE[[#This Row],[CECRIS PIN]],CECPINDATA[CECRIS PIN],CECPINDATA[County %])</f>
        <v>0</v>
      </c>
      <c r="I11" s="64">
        <f>IFERROR(_xlfn.XLOOKUP(COSTSHARE[[#This Row],[CECRIS PIN]],COSTCALC[Residual of PIN],COSTCALC[NonFed Cost Claimed])*_xlfn.XLOOKUP(COSTSHARE[[#This Row],[CECRIS PIN]],CECPINDATA[Non Fed Residual Of],CECPINDATA[Fed %]),0)</f>
        <v>0</v>
      </c>
      <c r="J11" s="64">
        <f>IFERROR(_xlfn.XLOOKUP(COSTSHARE[[#This Row],[CECRIS PIN]],COSTCALC[Residual of PIN],COSTCALC[NonFed Cost Claimed])*_xlfn.XLOOKUP(COSTSHARE[[#This Row],[CECRIS PIN]],CECPINDATA[Non Fed Residual Of],CECPINDATA[State%]),0)</f>
        <v>47168.447616488818</v>
      </c>
      <c r="K11" s="64">
        <f>COSTSHARE[[#This Row],[Non-Fed Eligible Cost]]-COSTSHARE[[#This Row],[State Share
Non Elig Cost]]</f>
        <v>0</v>
      </c>
      <c r="L11" s="68">
        <f>COSTSHARE[[#This Row],[Fed Share
Elig Cost]]+COSTSHARE[[#This Row],[Fed Share
Non Elig Cost]]</f>
        <v>40123.862288279583</v>
      </c>
      <c r="M11" s="68">
        <f>COSTSHARE[[#This Row],[State Share
Elig Cost]]+COSTSHARE[[#This Row],[State Share
Non Elig Cost]]</f>
        <v>87292.309904768394</v>
      </c>
      <c r="N11" s="68">
        <f>COSTSHARE[[#This Row],[County Share
Elig Cost]]+COSTSHARE[[#This Row],[County Share
Non Elig Cost]]</f>
        <v>0</v>
      </c>
      <c r="O11" s="42">
        <f>COSTSHARE[[#This Row],[Total Cost]]-COSTSHARE[[#This Row],[Total Fed]]-COSTSHARE[[#This Row],[Total State]]-COSTSHARE[[#This Row],[Total County]]</f>
        <v>0</v>
      </c>
    </row>
    <row r="12" spans="1:15" x14ac:dyDescent="0.25">
      <c r="A12" s="47" t="s">
        <v>3</v>
      </c>
      <c r="B12" s="44" t="str">
        <f>_xlfn.XLOOKUP(COSTSHARE[[#This Row],[CECRIS PIN]],CECPINDATA[CECRIS PIN],CECPINDATA[Program Name])</f>
        <v>PROB WRAPAROUND AFTERCARE SERVICES</v>
      </c>
      <c r="C12" s="63">
        <f>_xlfn.XLOOKUP(COSTSHARE[[#This Row],[CECRIS PIN]],COSTCALC[CECRIS PIN],COSTCALC[Total Program Cost])</f>
        <v>45819.879625867907</v>
      </c>
      <c r="D12" s="63">
        <f>_xlfn.XLOOKUP(COSTSHARE[[#This Row],[CECRIS PIN]],COSTCALC[CECRIS PIN],COSTCALC[Federal Cost])</f>
        <v>45819.879625867907</v>
      </c>
      <c r="E12" s="63">
        <f>COSTSHARE[[#This Row],[Total Cost]]-COSTSHARE[[#This Row],[Fed Eligible
Cost]]</f>
        <v>0</v>
      </c>
      <c r="F12" s="64">
        <f>COSTSHARE[[#This Row],[Fed Eligible
Cost]]*_xlfn.XLOOKUP(COSTSHARE[[#This Row],[CECRIS PIN]],CECPINDATA[CECRIS PIN],CECPINDATA[Fed %])</f>
        <v>0</v>
      </c>
      <c r="G12" s="64">
        <f>COSTSHARE[[#This Row],[Fed Eligible
Cost]]*_xlfn.XLOOKUP(COSTSHARE[[#This Row],[CECRIS PIN]],CECPINDATA[CECRIS PIN],CECPINDATA[State%])</f>
        <v>22909.939812933953</v>
      </c>
      <c r="H12" s="64">
        <f>COSTSHARE[[#This Row],[Fed Eligible
Cost]]*_xlfn.XLOOKUP(COSTSHARE[[#This Row],[CECRIS PIN]],CECPINDATA[CECRIS PIN],CECPINDATA[County %])</f>
        <v>22909.939812933953</v>
      </c>
      <c r="I12" s="64">
        <f>IFERROR(_xlfn.XLOOKUP(COSTSHARE[[#This Row],[CECRIS PIN]],COSTCALC[Residual of PIN],COSTCALC[NonFed Cost Claimed])*_xlfn.XLOOKUP(COSTSHARE[[#This Row],[CECRIS PIN]],CECPINDATA[Non Fed Residual Of],CECPINDATA[Fed %]),0)</f>
        <v>0</v>
      </c>
      <c r="J12" s="64">
        <f>IFERROR(_xlfn.XLOOKUP(COSTSHARE[[#This Row],[CECRIS PIN]],COSTCALC[Residual of PIN],COSTCALC[NonFed Cost Claimed])*_xlfn.XLOOKUP(COSTSHARE[[#This Row],[CECRIS PIN]],CECPINDATA[Non Fed Residual Of],CECPINDATA[State%]),0)</f>
        <v>0</v>
      </c>
      <c r="K12" s="64">
        <f>COSTSHARE[[#This Row],[Non-Fed Eligible Cost]]-COSTSHARE[[#This Row],[State Share
Non Elig Cost]]</f>
        <v>0</v>
      </c>
      <c r="L12" s="68">
        <f>COSTSHARE[[#This Row],[Fed Share
Elig Cost]]+COSTSHARE[[#This Row],[Fed Share
Non Elig Cost]]</f>
        <v>0</v>
      </c>
      <c r="M12" s="68">
        <f>COSTSHARE[[#This Row],[State Share
Elig Cost]]+COSTSHARE[[#This Row],[State Share
Non Elig Cost]]</f>
        <v>22909.939812933953</v>
      </c>
      <c r="N12" s="68">
        <f>COSTSHARE[[#This Row],[County Share
Elig Cost]]+COSTSHARE[[#This Row],[County Share
Non Elig Cost]]</f>
        <v>22909.939812933953</v>
      </c>
      <c r="O12" s="42">
        <f>COSTSHARE[[#This Row],[Total Cost]]-COSTSHARE[[#This Row],[Total Fed]]-COSTSHARE[[#This Row],[Total State]]-COSTSHARE[[#This Row],[Total County]]</f>
        <v>0</v>
      </c>
    </row>
    <row r="13" spans="1:15" x14ac:dyDescent="0.25">
      <c r="A13" s="47" t="s">
        <v>41</v>
      </c>
      <c r="B13" s="44" t="str">
        <f>_xlfn.XLOOKUP(COSTSHARE[[#This Row],[CECRIS PIN]],CECPINDATA[CECRIS PIN],CECPINDATA[Program Name])</f>
        <v>PROB EFC GH MO VISITS</v>
      </c>
      <c r="C13" s="63">
        <f>_xlfn.XLOOKUP(COSTSHARE[[#This Row],[CECRIS PIN]],COSTCALC[CECRIS PIN],COSTCALC[Total Program Cost])</f>
        <v>122202.99369034538</v>
      </c>
      <c r="D13" s="63">
        <f>_xlfn.XLOOKUP(COSTSHARE[[#This Row],[CECRIS PIN]],COSTCALC[CECRIS PIN],COSTCALC[Federal Cost])</f>
        <v>76964.423050129044</v>
      </c>
      <c r="E13" s="63">
        <f>COSTSHARE[[#This Row],[Total Cost]]-COSTSHARE[[#This Row],[Fed Eligible
Cost]]</f>
        <v>45238.570640216334</v>
      </c>
      <c r="F13" s="64">
        <f>COSTSHARE[[#This Row],[Fed Eligible
Cost]]*_xlfn.XLOOKUP(COSTSHARE[[#This Row],[CECRIS PIN]],CECPINDATA[CECRIS PIN],CECPINDATA[Fed %])</f>
        <v>38482.211525064522</v>
      </c>
      <c r="G13" s="64">
        <f>COSTSHARE[[#This Row],[Fed Eligible
Cost]]*_xlfn.XLOOKUP(COSTSHARE[[#This Row],[CECRIS PIN]],CECPINDATA[CECRIS PIN],CECPINDATA[State%])</f>
        <v>38482.211525064522</v>
      </c>
      <c r="H13" s="64">
        <f>COSTSHARE[[#This Row],[Fed Eligible
Cost]]*_xlfn.XLOOKUP(COSTSHARE[[#This Row],[CECRIS PIN]],CECPINDATA[CECRIS PIN],CECPINDATA[County %])</f>
        <v>0</v>
      </c>
      <c r="I13" s="64">
        <f>IFERROR(_xlfn.XLOOKUP(COSTSHARE[[#This Row],[CECRIS PIN]],COSTCALC[Residual of PIN],COSTCALC[NonFed Cost Claimed])*_xlfn.XLOOKUP(COSTSHARE[[#This Row],[CECRIS PIN]],CECPINDATA[Non Fed Residual Of],CECPINDATA[Fed %]),0)</f>
        <v>0</v>
      </c>
      <c r="J13" s="64">
        <f>IFERROR(_xlfn.XLOOKUP(COSTSHARE[[#This Row],[CECRIS PIN]],COSTCALC[Residual of PIN],COSTCALC[NonFed Cost Claimed])*_xlfn.XLOOKUP(COSTSHARE[[#This Row],[CECRIS PIN]],CECPINDATA[Non Fed Residual Of],CECPINDATA[State%]),0)</f>
        <v>45238.570640216334</v>
      </c>
      <c r="K13" s="64">
        <f>COSTSHARE[[#This Row],[Non-Fed Eligible Cost]]-COSTSHARE[[#This Row],[State Share
Non Elig Cost]]</f>
        <v>0</v>
      </c>
      <c r="L13" s="68">
        <f>COSTSHARE[[#This Row],[Fed Share
Elig Cost]]+COSTSHARE[[#This Row],[Fed Share
Non Elig Cost]]</f>
        <v>38482.211525064522</v>
      </c>
      <c r="M13" s="68">
        <f>COSTSHARE[[#This Row],[State Share
Elig Cost]]+COSTSHARE[[#This Row],[State Share
Non Elig Cost]]</f>
        <v>83720.782165280863</v>
      </c>
      <c r="N13" s="68">
        <f>COSTSHARE[[#This Row],[County Share
Elig Cost]]+COSTSHARE[[#This Row],[County Share
Non Elig Cost]]</f>
        <v>0</v>
      </c>
      <c r="O13" s="42">
        <f>COSTSHARE[[#This Row],[Total Cost]]-COSTSHARE[[#This Row],[Total Fed]]-COSTSHARE[[#This Row],[Total State]]-COSTSHARE[[#This Row],[Total County]]</f>
        <v>0</v>
      </c>
    </row>
    <row r="14" spans="1:15" x14ac:dyDescent="0.25">
      <c r="A14" s="47" t="s">
        <v>121</v>
      </c>
      <c r="B14" s="44" t="str">
        <f>_xlfn.XLOOKUP(COSTSHARE[[#This Row],[CECRIS PIN]],CECPINDATA[CECRIS PIN],CECPINDATA[Program Name])</f>
        <v>PROB EFC PUBLIC AGENCY IVE PASS THROUGH</v>
      </c>
      <c r="C14" s="38">
        <f>_xlfn.XLOOKUP(COSTSHARE[[#This Row],[CECRIS PIN]],COSTCALC[CECRIS PIN],COSTCALC[Total Program Cost])</f>
        <v>0</v>
      </c>
      <c r="D14" s="38">
        <f>_xlfn.XLOOKUP(COSTSHARE[[#This Row],[CECRIS PIN]],COSTCALC[CECRIS PIN],COSTCALC[Federal Cost])</f>
        <v>0</v>
      </c>
      <c r="E14" s="38">
        <f>COSTSHARE[[#This Row],[Total Cost]]-COSTSHARE[[#This Row],[Fed Eligible
Cost]]</f>
        <v>0</v>
      </c>
      <c r="F14" s="39">
        <f>COSTSHARE[[#This Row],[Fed Eligible
Cost]]*_xlfn.XLOOKUP(COSTSHARE[[#This Row],[CECRIS PIN]],CECPINDATA[CECRIS PIN],CECPINDATA[Fed %])</f>
        <v>0</v>
      </c>
      <c r="G14" s="39">
        <f>COSTSHARE[[#This Row],[Fed Eligible
Cost]]*_xlfn.XLOOKUP(COSTSHARE[[#This Row],[CECRIS PIN]],CECPINDATA[CECRIS PIN],CECPINDATA[State%])</f>
        <v>0</v>
      </c>
      <c r="H14" s="39">
        <f>COSTSHARE[[#This Row],[Fed Eligible
Cost]]*_xlfn.XLOOKUP(COSTSHARE[[#This Row],[CECRIS PIN]],CECPINDATA[CECRIS PIN],CECPINDATA[County %])</f>
        <v>0</v>
      </c>
      <c r="I14" s="39">
        <f>IFERROR(_xlfn.XLOOKUP(COSTSHARE[[#This Row],[CECRIS PIN]],COSTCALC[Residual of PIN],COSTCALC[NonFed Cost Claimed])*_xlfn.XLOOKUP(COSTSHARE[[#This Row],[CECRIS PIN]],CECPINDATA[Non Fed Residual Of],CECPINDATA[Fed %]),0)</f>
        <v>0</v>
      </c>
      <c r="J14" s="39">
        <f>IFERROR(_xlfn.XLOOKUP(COSTSHARE[[#This Row],[CECRIS PIN]],COSTCALC[Residual of PIN],COSTCALC[NonFed Cost Claimed])*_xlfn.XLOOKUP(COSTSHARE[[#This Row],[CECRIS PIN]],CECPINDATA[Non Fed Residual Of],CECPINDATA[State%]),0)</f>
        <v>0</v>
      </c>
      <c r="K14" s="39">
        <f>COSTSHARE[[#This Row],[Non-Fed Eligible Cost]]-COSTSHARE[[#This Row],[State Share
Non Elig Cost]]</f>
        <v>0</v>
      </c>
      <c r="L14" s="46">
        <f>COSTSHARE[[#This Row],[Fed Share
Elig Cost]]+COSTSHARE[[#This Row],[Fed Share
Non Elig Cost]]</f>
        <v>0</v>
      </c>
      <c r="M14" s="46">
        <f>COSTSHARE[[#This Row],[State Share
Elig Cost]]+COSTSHARE[[#This Row],[State Share
Non Elig Cost]]</f>
        <v>0</v>
      </c>
      <c r="N14" s="46">
        <f>COSTSHARE[[#This Row],[County Share
Elig Cost]]+COSTSHARE[[#This Row],[County Share
Non Elig Cost]]</f>
        <v>0</v>
      </c>
      <c r="O14" s="42">
        <f>COSTSHARE[[#This Row],[Total Cost]]-COSTSHARE[[#This Row],[Total Fed]]-COSTSHARE[[#This Row],[Total State]]-COSTSHARE[[#This Row],[Total County]]</f>
        <v>0</v>
      </c>
    </row>
    <row r="15" spans="1:15" x14ac:dyDescent="0.25">
      <c r="A15" s="47" t="s">
        <v>43</v>
      </c>
      <c r="B15" s="44" t="str">
        <f>_xlfn.XLOOKUP(COSTSHARE[[#This Row],[CECRIS PIN]],CECPINDATA[CECRIS PIN],CECPINDATA[Program Name])</f>
        <v>PROB EFC CASE MANAGEMENT</v>
      </c>
      <c r="C15" s="38">
        <f>_xlfn.XLOOKUP(COSTSHARE[[#This Row],[CECRIS PIN]],COSTCALC[CECRIS PIN],COSTCALC[Total Program Cost])</f>
        <v>0</v>
      </c>
      <c r="D15" s="38">
        <f>_xlfn.XLOOKUP(COSTSHARE[[#This Row],[CECRIS PIN]],COSTCALC[CECRIS PIN],COSTCALC[Federal Cost])</f>
        <v>0</v>
      </c>
      <c r="E15" s="38">
        <f>COSTSHARE[[#This Row],[Total Cost]]-COSTSHARE[[#This Row],[Fed Eligible
Cost]]</f>
        <v>0</v>
      </c>
      <c r="F15" s="39">
        <f>COSTSHARE[[#This Row],[Fed Eligible
Cost]]*_xlfn.XLOOKUP(COSTSHARE[[#This Row],[CECRIS PIN]],CECPINDATA[CECRIS PIN],CECPINDATA[Fed %])</f>
        <v>0</v>
      </c>
      <c r="G15" s="39">
        <f>COSTSHARE[[#This Row],[Fed Eligible
Cost]]*_xlfn.XLOOKUP(COSTSHARE[[#This Row],[CECRIS PIN]],CECPINDATA[CECRIS PIN],CECPINDATA[State%])</f>
        <v>0</v>
      </c>
      <c r="H15" s="39">
        <f>COSTSHARE[[#This Row],[Fed Eligible
Cost]]*_xlfn.XLOOKUP(COSTSHARE[[#This Row],[CECRIS PIN]],CECPINDATA[CECRIS PIN],CECPINDATA[County %])</f>
        <v>0</v>
      </c>
      <c r="I15" s="39">
        <f>IFERROR(_xlfn.XLOOKUP(COSTSHARE[[#This Row],[CECRIS PIN]],COSTCALC[Residual of PIN],COSTCALC[NonFed Cost Claimed])*_xlfn.XLOOKUP(COSTSHARE[[#This Row],[CECRIS PIN]],CECPINDATA[Non Fed Residual Of],CECPINDATA[Fed %]),0)</f>
        <v>0</v>
      </c>
      <c r="J15" s="39">
        <f>IFERROR(_xlfn.XLOOKUP(COSTSHARE[[#This Row],[CECRIS PIN]],COSTCALC[Residual of PIN],COSTCALC[NonFed Cost Claimed])*_xlfn.XLOOKUP(COSTSHARE[[#This Row],[CECRIS PIN]],CECPINDATA[Non Fed Residual Of],CECPINDATA[State%]),0)</f>
        <v>0</v>
      </c>
      <c r="K15" s="39">
        <f>COSTSHARE[[#This Row],[Non-Fed Eligible Cost]]-COSTSHARE[[#This Row],[State Share
Non Elig Cost]]</f>
        <v>0</v>
      </c>
      <c r="L15" s="46">
        <f>COSTSHARE[[#This Row],[Fed Share
Elig Cost]]+COSTSHARE[[#This Row],[Fed Share
Non Elig Cost]]</f>
        <v>0</v>
      </c>
      <c r="M15" s="46">
        <f>COSTSHARE[[#This Row],[State Share
Elig Cost]]+COSTSHARE[[#This Row],[State Share
Non Elig Cost]]</f>
        <v>0</v>
      </c>
      <c r="N15" s="46">
        <f>COSTSHARE[[#This Row],[County Share
Elig Cost]]+COSTSHARE[[#This Row],[County Share
Non Elig Cost]]</f>
        <v>0</v>
      </c>
      <c r="O15" s="42">
        <f>COSTSHARE[[#This Row],[Total Cost]]-COSTSHARE[[#This Row],[Total Fed]]-COSTSHARE[[#This Row],[Total State]]-COSTSHARE[[#This Row],[Total County]]</f>
        <v>0</v>
      </c>
    </row>
    <row r="16" spans="1:15" x14ac:dyDescent="0.25">
      <c r="A16" s="43" t="s">
        <v>45</v>
      </c>
      <c r="B16" s="44" t="str">
        <f>_xlfn.XLOOKUP(COSTSHARE[[#This Row],[CECRIS PIN]],CECPINDATA[CECRIS PIN],CECPINDATA[Program Name])</f>
        <v>PROB EFC IVE TRAINING</v>
      </c>
      <c r="C16" s="38">
        <f>_xlfn.XLOOKUP(COSTSHARE[[#This Row],[CECRIS PIN]],COSTCALC[CECRIS PIN],COSTCALC[Total Program Cost])</f>
        <v>0</v>
      </c>
      <c r="D16" s="38">
        <f>_xlfn.XLOOKUP(COSTSHARE[[#This Row],[CECRIS PIN]],COSTCALC[CECRIS PIN],COSTCALC[Federal Cost])</f>
        <v>0</v>
      </c>
      <c r="E16" s="38">
        <f>COSTSHARE[[#This Row],[Total Cost]]-COSTSHARE[[#This Row],[Fed Eligible
Cost]]</f>
        <v>0</v>
      </c>
      <c r="F16" s="39">
        <f>COSTSHARE[[#This Row],[Fed Eligible
Cost]]*_xlfn.XLOOKUP(COSTSHARE[[#This Row],[CECRIS PIN]],CECPINDATA[CECRIS PIN],CECPINDATA[Fed %])</f>
        <v>0</v>
      </c>
      <c r="G16" s="39">
        <f>COSTSHARE[[#This Row],[Fed Eligible
Cost]]*_xlfn.XLOOKUP(COSTSHARE[[#This Row],[CECRIS PIN]],CECPINDATA[CECRIS PIN],CECPINDATA[State%])</f>
        <v>0</v>
      </c>
      <c r="H16" s="39">
        <f>COSTSHARE[[#This Row],[Fed Eligible
Cost]]*_xlfn.XLOOKUP(COSTSHARE[[#This Row],[CECRIS PIN]],CECPINDATA[CECRIS PIN],CECPINDATA[County %])</f>
        <v>0</v>
      </c>
      <c r="I16" s="39">
        <f>IFERROR(_xlfn.XLOOKUP(COSTSHARE[[#This Row],[CECRIS PIN]],COSTCALC[Residual of PIN],COSTCALC[NonFed Cost Claimed])*_xlfn.XLOOKUP(COSTSHARE[[#This Row],[CECRIS PIN]],CECPINDATA[Non Fed Residual Of],CECPINDATA[Fed %]),0)</f>
        <v>0</v>
      </c>
      <c r="J16" s="39">
        <f>IFERROR(_xlfn.XLOOKUP(COSTSHARE[[#This Row],[CECRIS PIN]],COSTCALC[Residual of PIN],COSTCALC[NonFed Cost Claimed])*_xlfn.XLOOKUP(COSTSHARE[[#This Row],[CECRIS PIN]],CECPINDATA[Non Fed Residual Of],CECPINDATA[State%]),0)</f>
        <v>0</v>
      </c>
      <c r="K16" s="39">
        <f>COSTSHARE[[#This Row],[Non-Fed Eligible Cost]]-COSTSHARE[[#This Row],[State Share
Non Elig Cost]]</f>
        <v>0</v>
      </c>
      <c r="L16" s="46">
        <f>COSTSHARE[[#This Row],[Fed Share
Elig Cost]]+COSTSHARE[[#This Row],[Fed Share
Non Elig Cost]]</f>
        <v>0</v>
      </c>
      <c r="M16" s="46">
        <f>COSTSHARE[[#This Row],[State Share
Elig Cost]]+COSTSHARE[[#This Row],[State Share
Non Elig Cost]]</f>
        <v>0</v>
      </c>
      <c r="N16" s="46">
        <f>COSTSHARE[[#This Row],[County Share
Elig Cost]]+COSTSHARE[[#This Row],[County Share
Non Elig Cost]]</f>
        <v>0</v>
      </c>
      <c r="O16" s="42">
        <f>COSTSHARE[[#This Row],[Total Cost]]-COSTSHARE[[#This Row],[Total Fed]]-COSTSHARE[[#This Row],[Total State]]-COSTSHARE[[#This Row],[Total County]]</f>
        <v>0</v>
      </c>
    </row>
    <row r="17" spans="1:15" x14ac:dyDescent="0.25">
      <c r="A17" s="48" t="s">
        <v>123</v>
      </c>
      <c r="B17" s="44" t="str">
        <f>_xlfn.XLOOKUP(COSTSHARE[[#This Row],[CECRIS PIN]],CECPINDATA[CECRIS PIN],CECPINDATA[Program Name])</f>
        <v>PROB EFC PROB IVE TRAINING ADMIN</v>
      </c>
      <c r="C17" s="38">
        <f>_xlfn.XLOOKUP(COSTSHARE[[#This Row],[CECRIS PIN]],COSTCALC[CECRIS PIN],COSTCALC[Total Program Cost])</f>
        <v>0</v>
      </c>
      <c r="D17" s="38">
        <f>_xlfn.XLOOKUP(COSTSHARE[[#This Row],[CECRIS PIN]],COSTCALC[CECRIS PIN],COSTCALC[Federal Cost])</f>
        <v>0</v>
      </c>
      <c r="E17" s="38">
        <f>COSTSHARE[[#This Row],[Total Cost]]-COSTSHARE[[#This Row],[Fed Eligible
Cost]]</f>
        <v>0</v>
      </c>
      <c r="F17" s="39">
        <f>COSTSHARE[[#This Row],[Fed Eligible
Cost]]*_xlfn.XLOOKUP(COSTSHARE[[#This Row],[CECRIS PIN]],CECPINDATA[CECRIS PIN],CECPINDATA[Fed %])</f>
        <v>0</v>
      </c>
      <c r="G17" s="39">
        <f>COSTSHARE[[#This Row],[Fed Eligible
Cost]]*_xlfn.XLOOKUP(COSTSHARE[[#This Row],[CECRIS PIN]],CECPINDATA[CECRIS PIN],CECPINDATA[State%])</f>
        <v>0</v>
      </c>
      <c r="H17" s="39">
        <f>COSTSHARE[[#This Row],[Fed Eligible
Cost]]*_xlfn.XLOOKUP(COSTSHARE[[#This Row],[CECRIS PIN]],CECPINDATA[CECRIS PIN],CECPINDATA[County %])</f>
        <v>0</v>
      </c>
      <c r="I17" s="39">
        <f>IFERROR(_xlfn.XLOOKUP(COSTSHARE[[#This Row],[CECRIS PIN]],COSTCALC[Residual of PIN],COSTCALC[NonFed Cost Claimed])*_xlfn.XLOOKUP(COSTSHARE[[#This Row],[CECRIS PIN]],CECPINDATA[Non Fed Residual Of],CECPINDATA[Fed %]),0)</f>
        <v>0</v>
      </c>
      <c r="J17" s="39">
        <f>IFERROR(_xlfn.XLOOKUP(COSTSHARE[[#This Row],[CECRIS PIN]],COSTCALC[Residual of PIN],COSTCALC[NonFed Cost Claimed])*_xlfn.XLOOKUP(COSTSHARE[[#This Row],[CECRIS PIN]],CECPINDATA[Non Fed Residual Of],CECPINDATA[State%]),0)</f>
        <v>0</v>
      </c>
      <c r="K17" s="39">
        <f>COSTSHARE[[#This Row],[Non-Fed Eligible Cost]]-COSTSHARE[[#This Row],[State Share
Non Elig Cost]]</f>
        <v>0</v>
      </c>
      <c r="L17" s="46">
        <f>COSTSHARE[[#This Row],[Fed Share
Elig Cost]]+COSTSHARE[[#This Row],[Fed Share
Non Elig Cost]]</f>
        <v>0</v>
      </c>
      <c r="M17" s="46">
        <f>COSTSHARE[[#This Row],[State Share
Elig Cost]]+COSTSHARE[[#This Row],[State Share
Non Elig Cost]]</f>
        <v>0</v>
      </c>
      <c r="N17" s="46">
        <f>COSTSHARE[[#This Row],[County Share
Elig Cost]]+COSTSHARE[[#This Row],[County Share
Non Elig Cost]]</f>
        <v>0</v>
      </c>
      <c r="O17" s="42">
        <f>COSTSHARE[[#This Row],[Total Cost]]-COSTSHARE[[#This Row],[Total Fed]]-COSTSHARE[[#This Row],[Total State]]-COSTSHARE[[#This Row],[Total County]]</f>
        <v>0</v>
      </c>
    </row>
    <row r="18" spans="1:15" x14ac:dyDescent="0.25">
      <c r="A18" s="48" t="s">
        <v>7</v>
      </c>
      <c r="B18" s="44" t="str">
        <f>_xlfn.XLOOKUP(COSTSHARE[[#This Row],[CECRIS PIN]],CECPINDATA[CECRIS PIN],CECPINDATA[Program Name])</f>
        <v>PROB ADMINISTRATIVE QI SUPPORT UNDER 18 FED</v>
      </c>
      <c r="C18" s="38">
        <f>_xlfn.XLOOKUP(COSTSHARE[[#This Row],[CECRIS PIN]],COSTCALC[CECRIS PIN],COSTCALC[Total Program Cost])</f>
        <v>0</v>
      </c>
      <c r="D18" s="38">
        <f>_xlfn.XLOOKUP(COSTSHARE[[#This Row],[CECRIS PIN]],COSTCALC[CECRIS PIN],COSTCALC[Federal Cost])</f>
        <v>0</v>
      </c>
      <c r="E18" s="38">
        <f>COSTSHARE[[#This Row],[Total Cost]]-COSTSHARE[[#This Row],[Fed Eligible
Cost]]</f>
        <v>0</v>
      </c>
      <c r="F18" s="39">
        <f>COSTSHARE[[#This Row],[Fed Eligible
Cost]]*_xlfn.XLOOKUP(COSTSHARE[[#This Row],[CECRIS PIN]],CECPINDATA[CECRIS PIN],CECPINDATA[Fed %])</f>
        <v>0</v>
      </c>
      <c r="G18" s="39">
        <f>COSTSHARE[[#This Row],[Fed Eligible
Cost]]*_xlfn.XLOOKUP(COSTSHARE[[#This Row],[CECRIS PIN]],CECPINDATA[CECRIS PIN],CECPINDATA[State%])</f>
        <v>0</v>
      </c>
      <c r="H18" s="39">
        <f>COSTSHARE[[#This Row],[Fed Eligible
Cost]]*_xlfn.XLOOKUP(COSTSHARE[[#This Row],[CECRIS PIN]],CECPINDATA[CECRIS PIN],CECPINDATA[County %])</f>
        <v>0</v>
      </c>
      <c r="I18" s="39">
        <f>IFERROR(_xlfn.XLOOKUP(COSTSHARE[[#This Row],[CECRIS PIN]],COSTCALC[Residual of PIN],COSTCALC[NonFed Cost Claimed])*_xlfn.XLOOKUP(COSTSHARE[[#This Row],[CECRIS PIN]],CECPINDATA[Non Fed Residual Of],CECPINDATA[Fed %]),0)</f>
        <v>0</v>
      </c>
      <c r="J18" s="39">
        <f>IFERROR(_xlfn.XLOOKUP(COSTSHARE[[#This Row],[CECRIS PIN]],COSTCALC[Residual of PIN],COSTCALC[NonFed Cost Claimed])*_xlfn.XLOOKUP(COSTSHARE[[#This Row],[CECRIS PIN]],CECPINDATA[Non Fed Residual Of],CECPINDATA[State%]),0)</f>
        <v>0</v>
      </c>
      <c r="K18" s="39">
        <f>COSTSHARE[[#This Row],[Non-Fed Eligible Cost]]-COSTSHARE[[#This Row],[State Share
Non Elig Cost]]</f>
        <v>0</v>
      </c>
      <c r="L18" s="46">
        <f>COSTSHARE[[#This Row],[Fed Share
Elig Cost]]+COSTSHARE[[#This Row],[Fed Share
Non Elig Cost]]</f>
        <v>0</v>
      </c>
      <c r="M18" s="46">
        <f>COSTSHARE[[#This Row],[State Share
Elig Cost]]+COSTSHARE[[#This Row],[State Share
Non Elig Cost]]</f>
        <v>0</v>
      </c>
      <c r="N18" s="46">
        <f>COSTSHARE[[#This Row],[County Share
Elig Cost]]+COSTSHARE[[#This Row],[County Share
Non Elig Cost]]</f>
        <v>0</v>
      </c>
      <c r="O18" s="42">
        <f>COSTSHARE[[#This Row],[Total Cost]]-COSTSHARE[[#This Row],[Total Fed]]-COSTSHARE[[#This Row],[Total State]]-COSTSHARE[[#This Row],[Total County]]</f>
        <v>0</v>
      </c>
    </row>
    <row r="19" spans="1:15" x14ac:dyDescent="0.25">
      <c r="A19" s="48" t="s">
        <v>10</v>
      </c>
      <c r="B19" s="44" t="str">
        <f>_xlfn.XLOOKUP(COSTSHARE[[#This Row],[CECRIS PIN]],CECPINDATA[CECRIS PIN],CECPINDATA[Program Name])</f>
        <v xml:space="preserve">PROB RESOURCE FAMILY APPROVAL PROB </v>
      </c>
      <c r="C19" s="63">
        <f>_xlfn.XLOOKUP(COSTSHARE[[#This Row],[CECRIS PIN]],COSTCALC[CECRIS PIN],COSTCALC[Total Program Cost])</f>
        <v>151158.36577605907</v>
      </c>
      <c r="D19" s="63">
        <f>_xlfn.XLOOKUP(COSTSHARE[[#This Row],[CECRIS PIN]],COSTCALC[CECRIS PIN],COSTCALC[Federal Cost])</f>
        <v>95200.748032688221</v>
      </c>
      <c r="E19" s="63">
        <f>COSTSHARE[[#This Row],[Total Cost]]-COSTSHARE[[#This Row],[Fed Eligible
Cost]]</f>
        <v>55957.617743370851</v>
      </c>
      <c r="F19" s="64">
        <f>COSTSHARE[[#This Row],[Fed Eligible
Cost]]*_xlfn.XLOOKUP(COSTSHARE[[#This Row],[CECRIS PIN]],CECPINDATA[CECRIS PIN],CECPINDATA[Fed %])</f>
        <v>47600.374016344111</v>
      </c>
      <c r="G19" s="64">
        <f>COSTSHARE[[#This Row],[Fed Eligible
Cost]]*_xlfn.XLOOKUP(COSTSHARE[[#This Row],[CECRIS PIN]],CECPINDATA[CECRIS PIN],CECPINDATA[State%])</f>
        <v>47600.374016344111</v>
      </c>
      <c r="H19" s="64">
        <f>COSTSHARE[[#This Row],[Fed Eligible
Cost]]*_xlfn.XLOOKUP(COSTSHARE[[#This Row],[CECRIS PIN]],CECPINDATA[CECRIS PIN],CECPINDATA[County %])</f>
        <v>0</v>
      </c>
      <c r="I19" s="64">
        <f>IFERROR(_xlfn.XLOOKUP(COSTSHARE[[#This Row],[CECRIS PIN]],COSTCALC[Residual of PIN],COSTCALC[NonFed Cost Claimed])*_xlfn.XLOOKUP(COSTSHARE[[#This Row],[CECRIS PIN]],CECPINDATA[Non Fed Residual Of],CECPINDATA[Fed %]),0)</f>
        <v>0</v>
      </c>
      <c r="J19" s="64">
        <f>IFERROR(_xlfn.XLOOKUP(COSTSHARE[[#This Row],[CECRIS PIN]],COSTCALC[Residual of PIN],COSTCALC[NonFed Cost Claimed])*_xlfn.XLOOKUP(COSTSHARE[[#This Row],[CECRIS PIN]],CECPINDATA[Non Fed Residual Of],CECPINDATA[State%]),0)</f>
        <v>55957.617743370851</v>
      </c>
      <c r="K19" s="64">
        <f>COSTSHARE[[#This Row],[Non-Fed Eligible Cost]]-COSTSHARE[[#This Row],[State Share
Non Elig Cost]]</f>
        <v>0</v>
      </c>
      <c r="L19" s="68">
        <f>COSTSHARE[[#This Row],[Fed Share
Elig Cost]]+COSTSHARE[[#This Row],[Fed Share
Non Elig Cost]]</f>
        <v>47600.374016344111</v>
      </c>
      <c r="M19" s="68">
        <f>COSTSHARE[[#This Row],[State Share
Elig Cost]]+COSTSHARE[[#This Row],[State Share
Non Elig Cost]]</f>
        <v>103557.99175971496</v>
      </c>
      <c r="N19" s="68">
        <f>COSTSHARE[[#This Row],[County Share
Elig Cost]]+COSTSHARE[[#This Row],[County Share
Non Elig Cost]]</f>
        <v>0</v>
      </c>
      <c r="O19" s="42">
        <f>COSTSHARE[[#This Row],[Total Cost]]-COSTSHARE[[#This Row],[Total Fed]]-COSTSHARE[[#This Row],[Total State]]-COSTSHARE[[#This Row],[Total County]]</f>
        <v>0</v>
      </c>
    </row>
    <row r="20" spans="1:15" x14ac:dyDescent="0.25">
      <c r="A20" s="48" t="s">
        <v>14</v>
      </c>
      <c r="B20" s="44" t="str">
        <f>_xlfn.XLOOKUP(COSTSHARE[[#This Row],[CECRIS PIN]],CECPINDATA[CECRIS PIN],CECPINDATA[Program Name])</f>
        <v>PROB ADMINISTRATIVE QI SUPPORT NMD FED</v>
      </c>
      <c r="C20" s="38">
        <f>_xlfn.XLOOKUP(COSTSHARE[[#This Row],[CECRIS PIN]],COSTCALC[CECRIS PIN],COSTCALC[Total Program Cost])</f>
        <v>0</v>
      </c>
      <c r="D20" s="38">
        <f>_xlfn.XLOOKUP(COSTSHARE[[#This Row],[CECRIS PIN]],COSTCALC[CECRIS PIN],COSTCALC[Federal Cost])</f>
        <v>0</v>
      </c>
      <c r="E20" s="38">
        <f>COSTSHARE[[#This Row],[Total Cost]]-COSTSHARE[[#This Row],[Fed Eligible
Cost]]</f>
        <v>0</v>
      </c>
      <c r="F20" s="39">
        <f>COSTSHARE[[#This Row],[Fed Eligible
Cost]]*_xlfn.XLOOKUP(COSTSHARE[[#This Row],[CECRIS PIN]],CECPINDATA[CECRIS PIN],CECPINDATA[Fed %])</f>
        <v>0</v>
      </c>
      <c r="G20" s="39">
        <f>COSTSHARE[[#This Row],[Fed Eligible
Cost]]*_xlfn.XLOOKUP(COSTSHARE[[#This Row],[CECRIS PIN]],CECPINDATA[CECRIS PIN],CECPINDATA[State%])</f>
        <v>0</v>
      </c>
      <c r="H20" s="39">
        <f>COSTSHARE[[#This Row],[Fed Eligible
Cost]]*_xlfn.XLOOKUP(COSTSHARE[[#This Row],[CECRIS PIN]],CECPINDATA[CECRIS PIN],CECPINDATA[County %])</f>
        <v>0</v>
      </c>
      <c r="I20" s="39">
        <f>IFERROR(_xlfn.XLOOKUP(COSTSHARE[[#This Row],[CECRIS PIN]],COSTCALC[Residual of PIN],COSTCALC[NonFed Cost Claimed])*_xlfn.XLOOKUP(COSTSHARE[[#This Row],[CECRIS PIN]],CECPINDATA[Non Fed Residual Of],CECPINDATA[Fed %]),0)</f>
        <v>0</v>
      </c>
      <c r="J20" s="39">
        <f>IFERROR(_xlfn.XLOOKUP(COSTSHARE[[#This Row],[CECRIS PIN]],COSTCALC[Residual of PIN],COSTCALC[NonFed Cost Claimed])*_xlfn.XLOOKUP(COSTSHARE[[#This Row],[CECRIS PIN]],CECPINDATA[Non Fed Residual Of],CECPINDATA[State%]),0)</f>
        <v>0</v>
      </c>
      <c r="K20" s="39">
        <f>COSTSHARE[[#This Row],[Non-Fed Eligible Cost]]-COSTSHARE[[#This Row],[State Share
Non Elig Cost]]</f>
        <v>0</v>
      </c>
      <c r="L20" s="46">
        <f>COSTSHARE[[#This Row],[Fed Share
Elig Cost]]+COSTSHARE[[#This Row],[Fed Share
Non Elig Cost]]</f>
        <v>0</v>
      </c>
      <c r="M20" s="46">
        <f>COSTSHARE[[#This Row],[State Share
Elig Cost]]+COSTSHARE[[#This Row],[State Share
Non Elig Cost]]</f>
        <v>0</v>
      </c>
      <c r="N20" s="46">
        <f>COSTSHARE[[#This Row],[County Share
Elig Cost]]+COSTSHARE[[#This Row],[County Share
Non Elig Cost]]</f>
        <v>0</v>
      </c>
      <c r="O20" s="42">
        <f>COSTSHARE[[#This Row],[Total Cost]]-COSTSHARE[[#This Row],[Total Fed]]-COSTSHARE[[#This Row],[Total State]]-COSTSHARE[[#This Row],[Total County]]</f>
        <v>0</v>
      </c>
    </row>
    <row r="21" spans="1:15" x14ac:dyDescent="0.25">
      <c r="A21" s="35" t="s">
        <v>47</v>
      </c>
      <c r="B21" s="36" t="str">
        <f>_xlfn.XLOOKUP(COSTSHARE[[#This Row],[CECRIS PIN]],CECPINDATA[CECRIS PIN],CECPINDATA[Program Name])</f>
        <v>PROB FED PREVENTING SEX TRAFFICKING &amp; RUNAWAY</v>
      </c>
      <c r="C21" s="37">
        <f>_xlfn.XLOOKUP(COSTSHARE[[#This Row],[CECRIS PIN]],COSTCALC[CECRIS PIN],COSTCALC[Total Program Cost])</f>
        <v>0</v>
      </c>
      <c r="D21" s="50">
        <f>_xlfn.XLOOKUP(COSTSHARE[[#This Row],[CECRIS PIN]],COSTCALC[CECRIS PIN],COSTCALC[Federal Cost])</f>
        <v>0</v>
      </c>
      <c r="E21" s="50">
        <f>COSTSHARE[[#This Row],[Total Cost]]-COSTSHARE[[#This Row],[Fed Eligible
Cost]]</f>
        <v>0</v>
      </c>
      <c r="F21" s="40">
        <f>COSTSHARE[[#This Row],[Fed Eligible
Cost]]*_xlfn.XLOOKUP(COSTSHARE[[#This Row],[CECRIS PIN]],CECPINDATA[CECRIS PIN],CECPINDATA[Fed %])</f>
        <v>0</v>
      </c>
      <c r="G21" s="40">
        <f>COSTSHARE[[#This Row],[Fed Eligible
Cost]]*_xlfn.XLOOKUP(COSTSHARE[[#This Row],[CECRIS PIN]],CECPINDATA[CECRIS PIN],CECPINDATA[State%])</f>
        <v>0</v>
      </c>
      <c r="H21" s="40">
        <f>COSTSHARE[[#This Row],[Fed Eligible
Cost]]*_xlfn.XLOOKUP(COSTSHARE[[#This Row],[CECRIS PIN]],CECPINDATA[CECRIS PIN],CECPINDATA[County %])</f>
        <v>0</v>
      </c>
      <c r="I21" s="40">
        <f>IFERROR(_xlfn.XLOOKUP(COSTSHARE[[#This Row],[CECRIS PIN]],COSTCALC[Residual of PIN],COSTCALC[NonFed Cost Claimed])*_xlfn.XLOOKUP(COSTSHARE[[#This Row],[CECRIS PIN]],CECPINDATA[Non Fed Residual Of],CECPINDATA[Fed %]),0)</f>
        <v>0</v>
      </c>
      <c r="J21" s="40">
        <f>IFERROR(_xlfn.XLOOKUP(COSTSHARE[[#This Row],[CECRIS PIN]],COSTCALC[Residual of PIN],COSTCALC[NonFed Cost Claimed])*_xlfn.XLOOKUP(COSTSHARE[[#This Row],[CECRIS PIN]],CECPINDATA[Non Fed Residual Of],CECPINDATA[State%]),0)</f>
        <v>0</v>
      </c>
      <c r="K21" s="40">
        <f>COSTSHARE[[#This Row],[Non-Fed Eligible Cost]]-COSTSHARE[[#This Row],[State Share
Non Elig Cost]]</f>
        <v>0</v>
      </c>
      <c r="L21" s="41">
        <f>COSTSHARE[[#This Row],[Fed Share
Elig Cost]]+COSTSHARE[[#This Row],[Fed Share
Non Elig Cost]]</f>
        <v>0</v>
      </c>
      <c r="M21" s="41">
        <f>COSTSHARE[[#This Row],[State Share
Elig Cost]]+COSTSHARE[[#This Row],[State Share
Non Elig Cost]]</f>
        <v>0</v>
      </c>
      <c r="N21" s="41">
        <f>COSTSHARE[[#This Row],[County Share
Elig Cost]]+COSTSHARE[[#This Row],[County Share
Non Elig Cost]]</f>
        <v>0</v>
      </c>
      <c r="O21" s="42">
        <f>COSTSHARE[[#This Row],[Total Cost]]-COSTSHARE[[#This Row],[Total Fed]]-COSTSHARE[[#This Row],[Total State]]-COSTSHARE[[#This Row],[Total County]]</f>
        <v>0</v>
      </c>
    </row>
    <row r="22" spans="1:15" x14ac:dyDescent="0.25">
      <c r="A22" s="35" t="s">
        <v>19</v>
      </c>
      <c r="B22" s="36" t="str">
        <f>_xlfn.XLOOKUP(COSTSHARE[[#This Row],[CECRIS PIN]],CECPINDATA[CECRIS PIN],CECPINDATA[Program Name])</f>
        <v>PROB CHILD &amp; FAMILY TEAM (CFT)</v>
      </c>
      <c r="C22" s="37">
        <f>_xlfn.XLOOKUP(COSTSHARE[[#This Row],[CECRIS PIN]],COSTCALC[CECRIS PIN],COSTCALC[Total Program Cost])</f>
        <v>0</v>
      </c>
      <c r="D22" s="50">
        <f>_xlfn.XLOOKUP(COSTSHARE[[#This Row],[CECRIS PIN]],COSTCALC[CECRIS PIN],COSTCALC[Federal Cost])</f>
        <v>0</v>
      </c>
      <c r="E22" s="38">
        <f>COSTSHARE[[#This Row],[Total Cost]]-COSTSHARE[[#This Row],[Fed Eligible
Cost]]</f>
        <v>0</v>
      </c>
      <c r="F22" s="39">
        <f>COSTSHARE[[#This Row],[Fed Eligible
Cost]]*_xlfn.XLOOKUP(COSTSHARE[[#This Row],[CECRIS PIN]],CECPINDATA[CECRIS PIN],CECPINDATA[Fed %])</f>
        <v>0</v>
      </c>
      <c r="G22" s="39">
        <f>COSTSHARE[[#This Row],[Fed Eligible
Cost]]*_xlfn.XLOOKUP(COSTSHARE[[#This Row],[CECRIS PIN]],CECPINDATA[CECRIS PIN],CECPINDATA[State%])</f>
        <v>0</v>
      </c>
      <c r="H22" s="39">
        <f>COSTSHARE[[#This Row],[Fed Eligible
Cost]]*_xlfn.XLOOKUP(COSTSHARE[[#This Row],[CECRIS PIN]],CECPINDATA[CECRIS PIN],CECPINDATA[County %])</f>
        <v>0</v>
      </c>
      <c r="I22" s="40">
        <f>IFERROR(_xlfn.XLOOKUP(COSTSHARE[[#This Row],[CECRIS PIN]],COSTCALC[Residual of PIN],COSTCALC[NonFed Cost Claimed])*_xlfn.XLOOKUP(COSTSHARE[[#This Row],[CECRIS PIN]],CECPINDATA[Non Fed Residual Of],CECPINDATA[Fed %]),0)</f>
        <v>0</v>
      </c>
      <c r="J22" s="40">
        <f>IFERROR(_xlfn.XLOOKUP(COSTSHARE[[#This Row],[CECRIS PIN]],COSTCALC[Residual of PIN],COSTCALC[NonFed Cost Claimed])*_xlfn.XLOOKUP(COSTSHARE[[#This Row],[CECRIS PIN]],CECPINDATA[Non Fed Residual Of],CECPINDATA[State%]),0)</f>
        <v>0</v>
      </c>
      <c r="K22" s="40">
        <f>COSTSHARE[[#This Row],[Non-Fed Eligible Cost]]-COSTSHARE[[#This Row],[State Share
Non Elig Cost]]</f>
        <v>0</v>
      </c>
      <c r="L22" s="41">
        <f>COSTSHARE[[#This Row],[Fed Share
Elig Cost]]+COSTSHARE[[#This Row],[Fed Share
Non Elig Cost]]</f>
        <v>0</v>
      </c>
      <c r="M22" s="41">
        <f>COSTSHARE[[#This Row],[State Share
Elig Cost]]+COSTSHARE[[#This Row],[State Share
Non Elig Cost]]</f>
        <v>0</v>
      </c>
      <c r="N22" s="41">
        <f>COSTSHARE[[#This Row],[County Share
Elig Cost]]+COSTSHARE[[#This Row],[County Share
Non Elig Cost]]</f>
        <v>0</v>
      </c>
      <c r="O22" s="42">
        <f>COSTSHARE[[#This Row],[Total Cost]]-COSTSHARE[[#This Row],[Total Fed]]-COSTSHARE[[#This Row],[Total State]]-COSTSHARE[[#This Row],[Total County]]</f>
        <v>0</v>
      </c>
    </row>
    <row r="23" spans="1:15" x14ac:dyDescent="0.25">
      <c r="A23" s="35" t="s">
        <v>49</v>
      </c>
      <c r="B23" s="36" t="str">
        <f>_xlfn.XLOOKUP(COSTSHARE[[#This Row],[CECRIS PIN]],CECPINDATA[CECRIS PIN],CECPINDATA[Program Name])</f>
        <v>PROB FED PREVENTING SEX TRAFFICKING–CANDIDATES</v>
      </c>
      <c r="C23" s="37">
        <f>_xlfn.XLOOKUP(COSTSHARE[[#This Row],[CECRIS PIN]],COSTCALC[CECRIS PIN],COSTCALC[Total Program Cost])</f>
        <v>0</v>
      </c>
      <c r="D23" s="50">
        <f>_xlfn.XLOOKUP(COSTSHARE[[#This Row],[CECRIS PIN]],COSTCALC[CECRIS PIN],COSTCALC[Federal Cost])</f>
        <v>0</v>
      </c>
      <c r="E23" s="38">
        <f>COSTSHARE[[#This Row],[Total Cost]]-COSTSHARE[[#This Row],[Fed Eligible
Cost]]</f>
        <v>0</v>
      </c>
      <c r="F23" s="39">
        <f>COSTSHARE[[#This Row],[Fed Eligible
Cost]]*_xlfn.XLOOKUP(COSTSHARE[[#This Row],[CECRIS PIN]],CECPINDATA[CECRIS PIN],CECPINDATA[Fed %])</f>
        <v>0</v>
      </c>
      <c r="G23" s="39">
        <f>COSTSHARE[[#This Row],[Fed Eligible
Cost]]*_xlfn.XLOOKUP(COSTSHARE[[#This Row],[CECRIS PIN]],CECPINDATA[CECRIS PIN],CECPINDATA[State%])</f>
        <v>0</v>
      </c>
      <c r="H23" s="39">
        <f>COSTSHARE[[#This Row],[Fed Eligible
Cost]]*_xlfn.XLOOKUP(COSTSHARE[[#This Row],[CECRIS PIN]],CECPINDATA[CECRIS PIN],CECPINDATA[County %])</f>
        <v>0</v>
      </c>
      <c r="I23" s="40">
        <f>IFERROR(_xlfn.XLOOKUP(COSTSHARE[[#This Row],[CECRIS PIN]],COSTCALC[Residual of PIN],COSTCALC[NonFed Cost Claimed])*_xlfn.XLOOKUP(COSTSHARE[[#This Row],[CECRIS PIN]],CECPINDATA[Non Fed Residual Of],CECPINDATA[Fed %]),0)</f>
        <v>0</v>
      </c>
      <c r="J23" s="40">
        <f>IFERROR(_xlfn.XLOOKUP(COSTSHARE[[#This Row],[CECRIS PIN]],COSTCALC[Residual of PIN],COSTCALC[NonFed Cost Claimed])*_xlfn.XLOOKUP(COSTSHARE[[#This Row],[CECRIS PIN]],CECPINDATA[Non Fed Residual Of],CECPINDATA[State%]),0)</f>
        <v>0</v>
      </c>
      <c r="K23" s="40">
        <f>COSTSHARE[[#This Row],[Non-Fed Eligible Cost]]-COSTSHARE[[#This Row],[State Share
Non Elig Cost]]</f>
        <v>0</v>
      </c>
      <c r="L23" s="41">
        <f>COSTSHARE[[#This Row],[Fed Share
Elig Cost]]+COSTSHARE[[#This Row],[Fed Share
Non Elig Cost]]</f>
        <v>0</v>
      </c>
      <c r="M23" s="41">
        <f>COSTSHARE[[#This Row],[State Share
Elig Cost]]+COSTSHARE[[#This Row],[State Share
Non Elig Cost]]</f>
        <v>0</v>
      </c>
      <c r="N23" s="41">
        <f>COSTSHARE[[#This Row],[County Share
Elig Cost]]+COSTSHARE[[#This Row],[County Share
Non Elig Cost]]</f>
        <v>0</v>
      </c>
      <c r="O23" s="42">
        <f>COSTSHARE[[#This Row],[Total Cost]]-COSTSHARE[[#This Row],[Total Fed]]-COSTSHARE[[#This Row],[Total State]]-COSTSHARE[[#This Row],[Total County]]</f>
        <v>0</v>
      </c>
    </row>
    <row r="24" spans="1:15" x14ac:dyDescent="0.25">
      <c r="A24" s="35" t="s">
        <v>23</v>
      </c>
      <c r="B24" s="36" t="str">
        <f>_xlfn.XLOOKUP(COSTSHARE[[#This Row],[CECRIS PIN]],CECPINDATA[CECRIS PIN],CECPINDATA[Program Name])</f>
        <v>PROB CFT NON FED DETENTION</v>
      </c>
      <c r="C24" s="37">
        <f>_xlfn.XLOOKUP(COSTSHARE[[#This Row],[CECRIS PIN]],COSTCALC[CECRIS PIN],COSTCALC[Total Program Cost])</f>
        <v>0</v>
      </c>
      <c r="D24" s="50">
        <f>_xlfn.XLOOKUP(COSTSHARE[[#This Row],[CECRIS PIN]],COSTCALC[CECRIS PIN],COSTCALC[Federal Cost])</f>
        <v>0</v>
      </c>
      <c r="E24" s="38">
        <f>COSTSHARE[[#This Row],[Total Cost]]-COSTSHARE[[#This Row],[Fed Eligible
Cost]]</f>
        <v>0</v>
      </c>
      <c r="F24" s="39">
        <f>COSTSHARE[[#This Row],[Fed Eligible
Cost]]*_xlfn.XLOOKUP(COSTSHARE[[#This Row],[CECRIS PIN]],CECPINDATA[CECRIS PIN],CECPINDATA[Fed %])</f>
        <v>0</v>
      </c>
      <c r="G24" s="39">
        <f>COSTSHARE[[#This Row],[Fed Eligible
Cost]]*_xlfn.XLOOKUP(COSTSHARE[[#This Row],[CECRIS PIN]],CECPINDATA[CECRIS PIN],CECPINDATA[State%])</f>
        <v>0</v>
      </c>
      <c r="H24" s="39">
        <f>COSTSHARE[[#This Row],[Fed Eligible
Cost]]*_xlfn.XLOOKUP(COSTSHARE[[#This Row],[CECRIS PIN]],CECPINDATA[CECRIS PIN],CECPINDATA[County %])</f>
        <v>0</v>
      </c>
      <c r="I24" s="40">
        <f>IFERROR(_xlfn.XLOOKUP(COSTSHARE[[#This Row],[CECRIS PIN]],COSTCALC[Residual of PIN],COSTCALC[NonFed Cost Claimed])*_xlfn.XLOOKUP(COSTSHARE[[#This Row],[CECRIS PIN]],CECPINDATA[Non Fed Residual Of],CECPINDATA[Fed %]),0)</f>
        <v>0</v>
      </c>
      <c r="J24" s="40">
        <f>IFERROR(_xlfn.XLOOKUP(COSTSHARE[[#This Row],[CECRIS PIN]],COSTCALC[Residual of PIN],COSTCALC[NonFed Cost Claimed])*_xlfn.XLOOKUP(COSTSHARE[[#This Row],[CECRIS PIN]],CECPINDATA[Non Fed Residual Of],CECPINDATA[State%]),0)</f>
        <v>0</v>
      </c>
      <c r="K24" s="40">
        <f>COSTSHARE[[#This Row],[Non-Fed Eligible Cost]]-COSTSHARE[[#This Row],[State Share
Non Elig Cost]]</f>
        <v>0</v>
      </c>
      <c r="L24" s="41">
        <f>COSTSHARE[[#This Row],[Fed Share
Elig Cost]]+COSTSHARE[[#This Row],[Fed Share
Non Elig Cost]]</f>
        <v>0</v>
      </c>
      <c r="M24" s="41">
        <f>COSTSHARE[[#This Row],[State Share
Elig Cost]]+COSTSHARE[[#This Row],[State Share
Non Elig Cost]]</f>
        <v>0</v>
      </c>
      <c r="N24" s="41">
        <f>COSTSHARE[[#This Row],[County Share
Elig Cost]]+COSTSHARE[[#This Row],[County Share
Non Elig Cost]]</f>
        <v>0</v>
      </c>
      <c r="O24" s="42">
        <f>COSTSHARE[[#This Row],[Total Cost]]-COSTSHARE[[#This Row],[Total Fed]]-COSTSHARE[[#This Row],[Total State]]-COSTSHARE[[#This Row],[Total County]]</f>
        <v>0</v>
      </c>
    </row>
    <row r="25" spans="1:15" x14ac:dyDescent="0.25">
      <c r="A25" s="35" t="s">
        <v>155</v>
      </c>
      <c r="B25" s="36" t="str">
        <f>_xlfn.XLOOKUP(COSTSHARE[[#This Row],[CECRIS PIN]],CECPINDATA[CECRIS PIN],CECPINDATA[Program Name])</f>
        <v>PROB CAPACITY BUILDING FED</v>
      </c>
      <c r="C25" s="37">
        <f>_xlfn.XLOOKUP(COSTSHARE[[#This Row],[CECRIS PIN]],COSTCALC[CECRIS PIN],COSTCALC[Total Program Cost])</f>
        <v>0</v>
      </c>
      <c r="D25" s="50">
        <f>_xlfn.XLOOKUP(COSTSHARE[[#This Row],[CECRIS PIN]],COSTCALC[CECRIS PIN],COSTCALC[Federal Cost])</f>
        <v>0</v>
      </c>
      <c r="E25" s="38">
        <f>COSTSHARE[[#This Row],[Total Cost]]-COSTSHARE[[#This Row],[Fed Eligible
Cost]]</f>
        <v>0</v>
      </c>
      <c r="F25" s="39">
        <f>COSTSHARE[[#This Row],[Fed Eligible
Cost]]*_xlfn.XLOOKUP(COSTSHARE[[#This Row],[CECRIS PIN]],CECPINDATA[CECRIS PIN],CECPINDATA[Fed %])</f>
        <v>0</v>
      </c>
      <c r="G25" s="39">
        <f>COSTSHARE[[#This Row],[Fed Eligible
Cost]]*_xlfn.XLOOKUP(COSTSHARE[[#This Row],[CECRIS PIN]],CECPINDATA[CECRIS PIN],CECPINDATA[State%])</f>
        <v>0</v>
      </c>
      <c r="H25" s="39">
        <f>COSTSHARE[[#This Row],[Fed Eligible
Cost]]*_xlfn.XLOOKUP(COSTSHARE[[#This Row],[CECRIS PIN]],CECPINDATA[CECRIS PIN],CECPINDATA[County %])</f>
        <v>0</v>
      </c>
      <c r="I25" s="40">
        <f>IFERROR(_xlfn.XLOOKUP(COSTSHARE[[#This Row],[CECRIS PIN]],COSTCALC[Residual of PIN],COSTCALC[NonFed Cost Claimed])*_xlfn.XLOOKUP(COSTSHARE[[#This Row],[CECRIS PIN]],CECPINDATA[Non Fed Residual Of],CECPINDATA[Fed %]),0)</f>
        <v>0</v>
      </c>
      <c r="J25" s="40">
        <f>IFERROR(_xlfn.XLOOKUP(COSTSHARE[[#This Row],[CECRIS PIN]],COSTCALC[Residual of PIN],COSTCALC[NonFed Cost Claimed])*_xlfn.XLOOKUP(COSTSHARE[[#This Row],[CECRIS PIN]],CECPINDATA[Non Fed Residual Of],CECPINDATA[State%]),0)</f>
        <v>0</v>
      </c>
      <c r="K25" s="40">
        <f>COSTSHARE[[#This Row],[Non-Fed Eligible Cost]]-COSTSHARE[[#This Row],[State Share
Non Elig Cost]]</f>
        <v>0</v>
      </c>
      <c r="L25" s="41">
        <f>COSTSHARE[[#This Row],[Fed Share
Elig Cost]]+COSTSHARE[[#This Row],[Fed Share
Non Elig Cost]]</f>
        <v>0</v>
      </c>
      <c r="M25" s="41">
        <f>COSTSHARE[[#This Row],[State Share
Elig Cost]]+COSTSHARE[[#This Row],[State Share
Non Elig Cost]]</f>
        <v>0</v>
      </c>
      <c r="N25" s="41">
        <f>COSTSHARE[[#This Row],[County Share
Elig Cost]]+COSTSHARE[[#This Row],[County Share
Non Elig Cost]]</f>
        <v>0</v>
      </c>
      <c r="O25" s="42">
        <f>COSTSHARE[[#This Row],[Total Cost]]-COSTSHARE[[#This Row],[Total Fed]]-COSTSHARE[[#This Row],[Total State]]-COSTSHARE[[#This Row],[Total County]]</f>
        <v>0</v>
      </c>
    </row>
    <row r="26" spans="1:15" x14ac:dyDescent="0.25">
      <c r="A26" s="35" t="s">
        <v>51</v>
      </c>
      <c r="B26" s="36" t="str">
        <f>_xlfn.XLOOKUP(COSTSHARE[[#This Row],[CECRIS PIN]],CECPINDATA[CECRIS PIN],CECPINDATA[Program Name])</f>
        <v>PROB IVE PREVENTION ADMIN</v>
      </c>
      <c r="C26" s="37">
        <f>_xlfn.XLOOKUP(COSTSHARE[[#This Row],[CECRIS PIN]],COSTCALC[CECRIS PIN],COSTCALC[Total Program Cost])</f>
        <v>0</v>
      </c>
      <c r="D26" s="50">
        <f>_xlfn.XLOOKUP(COSTSHARE[[#This Row],[CECRIS PIN]],COSTCALC[CECRIS PIN],COSTCALC[Federal Cost])</f>
        <v>0</v>
      </c>
      <c r="E26" s="38">
        <f>COSTSHARE[[#This Row],[Total Cost]]-COSTSHARE[[#This Row],[Fed Eligible
Cost]]</f>
        <v>0</v>
      </c>
      <c r="F26" s="39">
        <f>COSTSHARE[[#This Row],[Fed Eligible
Cost]]*_xlfn.XLOOKUP(COSTSHARE[[#This Row],[CECRIS PIN]],CECPINDATA[CECRIS PIN],CECPINDATA[Fed %])</f>
        <v>0</v>
      </c>
      <c r="G26" s="39">
        <f>COSTSHARE[[#This Row],[Fed Eligible
Cost]]*_xlfn.XLOOKUP(COSTSHARE[[#This Row],[CECRIS PIN]],CECPINDATA[CECRIS PIN],CECPINDATA[State%])</f>
        <v>0</v>
      </c>
      <c r="H26" s="39">
        <f>COSTSHARE[[#This Row],[Fed Eligible
Cost]]*_xlfn.XLOOKUP(COSTSHARE[[#This Row],[CECRIS PIN]],CECPINDATA[CECRIS PIN],CECPINDATA[County %])</f>
        <v>0</v>
      </c>
      <c r="I26" s="40">
        <f>IFERROR(_xlfn.XLOOKUP(COSTSHARE[[#This Row],[CECRIS PIN]],COSTCALC[Residual of PIN],COSTCALC[NonFed Cost Claimed])*_xlfn.XLOOKUP(COSTSHARE[[#This Row],[CECRIS PIN]],CECPINDATA[Non Fed Residual Of],CECPINDATA[Fed %]),0)</f>
        <v>0</v>
      </c>
      <c r="J26" s="40">
        <f>IFERROR(_xlfn.XLOOKUP(COSTSHARE[[#This Row],[CECRIS PIN]],COSTCALC[Residual of PIN],COSTCALC[NonFed Cost Claimed])*_xlfn.XLOOKUP(COSTSHARE[[#This Row],[CECRIS PIN]],CECPINDATA[Non Fed Residual Of],CECPINDATA[State%]),0)</f>
        <v>0</v>
      </c>
      <c r="K26" s="40">
        <f>COSTSHARE[[#This Row],[Non-Fed Eligible Cost]]-COSTSHARE[[#This Row],[State Share
Non Elig Cost]]</f>
        <v>0</v>
      </c>
      <c r="L26" s="41">
        <f>COSTSHARE[[#This Row],[Fed Share
Elig Cost]]+COSTSHARE[[#This Row],[Fed Share
Non Elig Cost]]</f>
        <v>0</v>
      </c>
      <c r="M26" s="41">
        <f>COSTSHARE[[#This Row],[State Share
Elig Cost]]+COSTSHARE[[#This Row],[State Share
Non Elig Cost]]</f>
        <v>0</v>
      </c>
      <c r="N26" s="41">
        <f>COSTSHARE[[#This Row],[County Share
Elig Cost]]+COSTSHARE[[#This Row],[County Share
Non Elig Cost]]</f>
        <v>0</v>
      </c>
      <c r="O26" s="42">
        <f>COSTSHARE[[#This Row],[Total Cost]]-COSTSHARE[[#This Row],[Total Fed]]-COSTSHARE[[#This Row],[Total State]]-COSTSHARE[[#This Row],[Total County]]</f>
        <v>0</v>
      </c>
    </row>
    <row r="27" spans="1:15" x14ac:dyDescent="0.25">
      <c r="A27" s="35" t="s">
        <v>53</v>
      </c>
      <c r="B27" s="36" t="str">
        <f>_xlfn.XLOOKUP(COSTSHARE[[#This Row],[CECRIS PIN]],CECPINDATA[CECRIS PIN],CECPINDATA[Program Name])</f>
        <v>PROB IVE PREVENTION TRAINING</v>
      </c>
      <c r="C27" s="37">
        <f>_xlfn.XLOOKUP(COSTSHARE[[#This Row],[CECRIS PIN]],COSTCALC[CECRIS PIN],COSTCALC[Total Program Cost])</f>
        <v>0</v>
      </c>
      <c r="D27" s="50">
        <f>_xlfn.XLOOKUP(COSTSHARE[[#This Row],[CECRIS PIN]],COSTCALC[CECRIS PIN],COSTCALC[Federal Cost])</f>
        <v>0</v>
      </c>
      <c r="E27" s="38">
        <f>COSTSHARE[[#This Row],[Total Cost]]-COSTSHARE[[#This Row],[Fed Eligible
Cost]]</f>
        <v>0</v>
      </c>
      <c r="F27" s="39">
        <f>COSTSHARE[[#This Row],[Fed Eligible
Cost]]*_xlfn.XLOOKUP(COSTSHARE[[#This Row],[CECRIS PIN]],CECPINDATA[CECRIS PIN],CECPINDATA[Fed %])</f>
        <v>0</v>
      </c>
      <c r="G27" s="39">
        <f>COSTSHARE[[#This Row],[Fed Eligible
Cost]]*_xlfn.XLOOKUP(COSTSHARE[[#This Row],[CECRIS PIN]],CECPINDATA[CECRIS PIN],CECPINDATA[State%])</f>
        <v>0</v>
      </c>
      <c r="H27" s="39">
        <f>COSTSHARE[[#This Row],[Fed Eligible
Cost]]*_xlfn.XLOOKUP(COSTSHARE[[#This Row],[CECRIS PIN]],CECPINDATA[CECRIS PIN],CECPINDATA[County %])</f>
        <v>0</v>
      </c>
      <c r="I27" s="40">
        <f>IFERROR(_xlfn.XLOOKUP(COSTSHARE[[#This Row],[CECRIS PIN]],COSTCALC[Residual of PIN],COSTCALC[NonFed Cost Claimed])*_xlfn.XLOOKUP(COSTSHARE[[#This Row],[CECRIS PIN]],CECPINDATA[Non Fed Residual Of],CECPINDATA[Fed %]),0)</f>
        <v>0</v>
      </c>
      <c r="J27" s="40">
        <f>IFERROR(_xlfn.XLOOKUP(COSTSHARE[[#This Row],[CECRIS PIN]],COSTCALC[Residual of PIN],COSTCALC[NonFed Cost Claimed])*_xlfn.XLOOKUP(COSTSHARE[[#This Row],[CECRIS PIN]],CECPINDATA[Non Fed Residual Of],CECPINDATA[State%]),0)</f>
        <v>0</v>
      </c>
      <c r="K27" s="40">
        <f>COSTSHARE[[#This Row],[Non-Fed Eligible Cost]]-COSTSHARE[[#This Row],[State Share
Non Elig Cost]]</f>
        <v>0</v>
      </c>
      <c r="L27" s="41">
        <f>COSTSHARE[[#This Row],[Fed Share
Elig Cost]]+COSTSHARE[[#This Row],[Fed Share
Non Elig Cost]]</f>
        <v>0</v>
      </c>
      <c r="M27" s="41">
        <f>COSTSHARE[[#This Row],[State Share
Elig Cost]]+COSTSHARE[[#This Row],[State Share
Non Elig Cost]]</f>
        <v>0</v>
      </c>
      <c r="N27" s="41">
        <f>COSTSHARE[[#This Row],[County Share
Elig Cost]]+COSTSHARE[[#This Row],[County Share
Non Elig Cost]]</f>
        <v>0</v>
      </c>
      <c r="O27" s="42">
        <f>COSTSHARE[[#This Row],[Total Cost]]-COSTSHARE[[#This Row],[Total Fed]]-COSTSHARE[[#This Row],[Total State]]-COSTSHARE[[#This Row],[Total County]]</f>
        <v>0</v>
      </c>
    </row>
    <row r="28" spans="1:15" x14ac:dyDescent="0.25">
      <c r="A28" s="35" t="s">
        <v>55</v>
      </c>
      <c r="B28" s="36" t="str">
        <f>_xlfn.XLOOKUP(COSTSHARE[[#This Row],[CECRIS PIN]],CECPINDATA[CECRIS PIN],CECPINDATA[Program Name])</f>
        <v>PROB FFPS STATE BLOCK GRANT PREVENTION ADMIN &amp; TRAINING</v>
      </c>
      <c r="C28" s="37">
        <f>_xlfn.XLOOKUP(COSTSHARE[[#This Row],[CECRIS PIN]],COSTCALC[CECRIS PIN],COSTCALC[Total Program Cost])</f>
        <v>0</v>
      </c>
      <c r="D28" s="50">
        <f>_xlfn.XLOOKUP(COSTSHARE[[#This Row],[CECRIS PIN]],COSTCALC[CECRIS PIN],COSTCALC[Federal Cost])</f>
        <v>0</v>
      </c>
      <c r="E28" s="38">
        <f>COSTSHARE[[#This Row],[Total Cost]]-COSTSHARE[[#This Row],[Fed Eligible
Cost]]</f>
        <v>0</v>
      </c>
      <c r="F28" s="39">
        <f>COSTSHARE[[#This Row],[Fed Eligible
Cost]]*_xlfn.XLOOKUP(COSTSHARE[[#This Row],[CECRIS PIN]],CECPINDATA[CECRIS PIN],CECPINDATA[Fed %])</f>
        <v>0</v>
      </c>
      <c r="G28" s="39">
        <f>COSTSHARE[[#This Row],[Fed Eligible
Cost]]*_xlfn.XLOOKUP(COSTSHARE[[#This Row],[CECRIS PIN]],CECPINDATA[CECRIS PIN],CECPINDATA[State%])</f>
        <v>0</v>
      </c>
      <c r="H28" s="39">
        <f>COSTSHARE[[#This Row],[Fed Eligible
Cost]]*_xlfn.XLOOKUP(COSTSHARE[[#This Row],[CECRIS PIN]],CECPINDATA[CECRIS PIN],CECPINDATA[County %])</f>
        <v>0</v>
      </c>
      <c r="I28" s="40">
        <f>IFERROR(_xlfn.XLOOKUP(COSTSHARE[[#This Row],[CECRIS PIN]],COSTCALC[Residual of PIN],COSTCALC[NonFed Cost Claimed])*_xlfn.XLOOKUP(COSTSHARE[[#This Row],[CECRIS PIN]],CECPINDATA[Non Fed Residual Of],CECPINDATA[Fed %]),0)</f>
        <v>0</v>
      </c>
      <c r="J28" s="40">
        <f>IFERROR(_xlfn.XLOOKUP(COSTSHARE[[#This Row],[CECRIS PIN]],COSTCALC[Residual of PIN],COSTCALC[NonFed Cost Claimed])*_xlfn.XLOOKUP(COSTSHARE[[#This Row],[CECRIS PIN]],CECPINDATA[Non Fed Residual Of],CECPINDATA[State%]),0)</f>
        <v>0</v>
      </c>
      <c r="K28" s="40">
        <f>COSTSHARE[[#This Row],[Non-Fed Eligible Cost]]-COSTSHARE[[#This Row],[State Share
Non Elig Cost]]</f>
        <v>0</v>
      </c>
      <c r="L28" s="41">
        <f>COSTSHARE[[#This Row],[Fed Share
Elig Cost]]+COSTSHARE[[#This Row],[Fed Share
Non Elig Cost]]</f>
        <v>0</v>
      </c>
      <c r="M28" s="41">
        <f>COSTSHARE[[#This Row],[State Share
Elig Cost]]+COSTSHARE[[#This Row],[State Share
Non Elig Cost]]</f>
        <v>0</v>
      </c>
      <c r="N28" s="41">
        <f>COSTSHARE[[#This Row],[County Share
Elig Cost]]+COSTSHARE[[#This Row],[County Share
Non Elig Cost]]</f>
        <v>0</v>
      </c>
      <c r="O28" s="42">
        <f>COSTSHARE[[#This Row],[Total Cost]]-COSTSHARE[[#This Row],[Total Fed]]-COSTSHARE[[#This Row],[Total State]]-COSTSHARE[[#This Row],[Total County]]</f>
        <v>0</v>
      </c>
    </row>
    <row r="29" spans="1:15" x14ac:dyDescent="0.25">
      <c r="A29" s="35" t="s">
        <v>57</v>
      </c>
      <c r="B29" s="36" t="str">
        <f>_xlfn.XLOOKUP(COSTSHARE[[#This Row],[CECRIS PIN]],CECPINDATA[CECRIS PIN],CECPINDATA[Program Name])</f>
        <v>PROB FFPS STATE BLOCK GRANT PREVENTION SERVICES</v>
      </c>
      <c r="C29" s="37">
        <f>_xlfn.XLOOKUP(COSTSHARE[[#This Row],[CECRIS PIN]],COSTCALC[CECRIS PIN],COSTCALC[Total Program Cost])</f>
        <v>0</v>
      </c>
      <c r="D29" s="50">
        <f>_xlfn.XLOOKUP(COSTSHARE[[#This Row],[CECRIS PIN]],COSTCALC[CECRIS PIN],COSTCALC[Federal Cost])</f>
        <v>0</v>
      </c>
      <c r="E29" s="38">
        <f>COSTSHARE[[#This Row],[Total Cost]]-COSTSHARE[[#This Row],[Fed Eligible
Cost]]</f>
        <v>0</v>
      </c>
      <c r="F29" s="39">
        <f>COSTSHARE[[#This Row],[Fed Eligible
Cost]]*_xlfn.XLOOKUP(COSTSHARE[[#This Row],[CECRIS PIN]],CECPINDATA[CECRIS PIN],CECPINDATA[Fed %])</f>
        <v>0</v>
      </c>
      <c r="G29" s="39">
        <f>COSTSHARE[[#This Row],[Fed Eligible
Cost]]*_xlfn.XLOOKUP(COSTSHARE[[#This Row],[CECRIS PIN]],CECPINDATA[CECRIS PIN],CECPINDATA[State%])</f>
        <v>0</v>
      </c>
      <c r="H29" s="39">
        <f>COSTSHARE[[#This Row],[Fed Eligible
Cost]]*_xlfn.XLOOKUP(COSTSHARE[[#This Row],[CECRIS PIN]],CECPINDATA[CECRIS PIN],CECPINDATA[County %])</f>
        <v>0</v>
      </c>
      <c r="I29" s="40">
        <f>IFERROR(_xlfn.XLOOKUP(COSTSHARE[[#This Row],[CECRIS PIN]],COSTCALC[Residual of PIN],COSTCALC[NonFed Cost Claimed])*_xlfn.XLOOKUP(COSTSHARE[[#This Row],[CECRIS PIN]],CECPINDATA[Non Fed Residual Of],CECPINDATA[Fed %]),0)</f>
        <v>0</v>
      </c>
      <c r="J29" s="40">
        <f>IFERROR(_xlfn.XLOOKUP(COSTSHARE[[#This Row],[CECRIS PIN]],COSTCALC[Residual of PIN],COSTCALC[NonFed Cost Claimed])*_xlfn.XLOOKUP(COSTSHARE[[#This Row],[CECRIS PIN]],CECPINDATA[Non Fed Residual Of],CECPINDATA[State%]),0)</f>
        <v>0</v>
      </c>
      <c r="K29" s="40">
        <f>COSTSHARE[[#This Row],[Non-Fed Eligible Cost]]-COSTSHARE[[#This Row],[State Share
Non Elig Cost]]</f>
        <v>0</v>
      </c>
      <c r="L29" s="41">
        <f>COSTSHARE[[#This Row],[Fed Share
Elig Cost]]+COSTSHARE[[#This Row],[Fed Share
Non Elig Cost]]</f>
        <v>0</v>
      </c>
      <c r="M29" s="41">
        <f>COSTSHARE[[#This Row],[State Share
Elig Cost]]+COSTSHARE[[#This Row],[State Share
Non Elig Cost]]</f>
        <v>0</v>
      </c>
      <c r="N29" s="41">
        <f>COSTSHARE[[#This Row],[County Share
Elig Cost]]+COSTSHARE[[#This Row],[County Share
Non Elig Cost]]</f>
        <v>0</v>
      </c>
      <c r="O29" s="42">
        <f>COSTSHARE[[#This Row],[Total Cost]]-COSTSHARE[[#This Row],[Total Fed]]-COSTSHARE[[#This Row],[Total State]]-COSTSHARE[[#This Row],[Total County]]</f>
        <v>0</v>
      </c>
    </row>
    <row r="30" spans="1:15" x14ac:dyDescent="0.25">
      <c r="A30" s="35" t="s">
        <v>59</v>
      </c>
      <c r="B30" s="36" t="str">
        <f>_xlfn.XLOOKUP(COSTSHARE[[#This Row],[CECRIS PIN]],CECPINDATA[CECRIS PIN],CECPINDATA[Program Name])</f>
        <v>PROB FLEXIBLE FAMILY SUPPORTS &amp; HOME BASED FC</v>
      </c>
      <c r="C30" s="37">
        <f>_xlfn.XLOOKUP(COSTSHARE[[#This Row],[CECRIS PIN]],COSTCALC[CECRIS PIN],COSTCALC[Total Program Cost])</f>
        <v>0</v>
      </c>
      <c r="D30" s="50">
        <f>_xlfn.XLOOKUP(COSTSHARE[[#This Row],[CECRIS PIN]],COSTCALC[CECRIS PIN],COSTCALC[Federal Cost])</f>
        <v>0</v>
      </c>
      <c r="E30" s="38">
        <f>COSTSHARE[[#This Row],[Total Cost]]-COSTSHARE[[#This Row],[Fed Eligible
Cost]]</f>
        <v>0</v>
      </c>
      <c r="F30" s="39">
        <f>COSTSHARE[[#This Row],[Fed Eligible
Cost]]*_xlfn.XLOOKUP(COSTSHARE[[#This Row],[CECRIS PIN]],CECPINDATA[CECRIS PIN],CECPINDATA[Fed %])</f>
        <v>0</v>
      </c>
      <c r="G30" s="39">
        <f>COSTSHARE[[#This Row],[Fed Eligible
Cost]]*_xlfn.XLOOKUP(COSTSHARE[[#This Row],[CECRIS PIN]],CECPINDATA[CECRIS PIN],CECPINDATA[State%])</f>
        <v>0</v>
      </c>
      <c r="H30" s="39">
        <f>COSTSHARE[[#This Row],[Fed Eligible
Cost]]*_xlfn.XLOOKUP(COSTSHARE[[#This Row],[CECRIS PIN]],CECPINDATA[CECRIS PIN],CECPINDATA[County %])</f>
        <v>0</v>
      </c>
      <c r="I30" s="40">
        <f>IFERROR(_xlfn.XLOOKUP(COSTSHARE[[#This Row],[CECRIS PIN]],COSTCALC[Residual of PIN],COSTCALC[NonFed Cost Claimed])*_xlfn.XLOOKUP(COSTSHARE[[#This Row],[CECRIS PIN]],CECPINDATA[Non Fed Residual Of],CECPINDATA[Fed %]),0)</f>
        <v>0</v>
      </c>
      <c r="J30" s="40">
        <f>IFERROR(_xlfn.XLOOKUP(COSTSHARE[[#This Row],[CECRIS PIN]],COSTCALC[Residual of PIN],COSTCALC[NonFed Cost Claimed])*_xlfn.XLOOKUP(COSTSHARE[[#This Row],[CECRIS PIN]],CECPINDATA[Non Fed Residual Of],CECPINDATA[State%]),0)</f>
        <v>0</v>
      </c>
      <c r="K30" s="40">
        <f>COSTSHARE[[#This Row],[Non-Fed Eligible Cost]]-COSTSHARE[[#This Row],[State Share
Non Elig Cost]]</f>
        <v>0</v>
      </c>
      <c r="L30" s="41">
        <f>COSTSHARE[[#This Row],[Fed Share
Elig Cost]]+COSTSHARE[[#This Row],[Fed Share
Non Elig Cost]]</f>
        <v>0</v>
      </c>
      <c r="M30" s="41">
        <f>COSTSHARE[[#This Row],[State Share
Elig Cost]]+COSTSHARE[[#This Row],[State Share
Non Elig Cost]]</f>
        <v>0</v>
      </c>
      <c r="N30" s="41">
        <f>COSTSHARE[[#This Row],[County Share
Elig Cost]]+COSTSHARE[[#This Row],[County Share
Non Elig Cost]]</f>
        <v>0</v>
      </c>
      <c r="O30" s="42">
        <f>COSTSHARE[[#This Row],[Total Cost]]-COSTSHARE[[#This Row],[Total Fed]]-COSTSHARE[[#This Row],[Total State]]-COSTSHARE[[#This Row],[Total County]]</f>
        <v>0</v>
      </c>
    </row>
    <row r="31" spans="1:15" x14ac:dyDescent="0.25">
      <c r="A31" s="35" t="s">
        <v>125</v>
      </c>
      <c r="B31" s="36" t="str">
        <f>_xlfn.XLOOKUP(COSTSHARE[[#This Row],[CECRIS PIN]],CECPINDATA[CECRIS PIN],CECPINDATA[Program Name])</f>
        <v>PROB FAM FIND DIR EXPEND OR PUBLIC 3RD PARTY IN KIND MATCH</v>
      </c>
      <c r="C31" s="37">
        <f>_xlfn.XLOOKUP(COSTSHARE[[#This Row],[CECRIS PIN]],COSTCALC[CECRIS PIN],COSTCALC[Total Program Cost])</f>
        <v>0</v>
      </c>
      <c r="D31" s="50">
        <f>_xlfn.XLOOKUP(COSTSHARE[[#This Row],[CECRIS PIN]],COSTCALC[CECRIS PIN],COSTCALC[Federal Cost])</f>
        <v>0</v>
      </c>
      <c r="E31" s="38">
        <f>COSTSHARE[[#This Row],[Total Cost]]-COSTSHARE[[#This Row],[Fed Eligible
Cost]]</f>
        <v>0</v>
      </c>
      <c r="F31" s="39">
        <f>COSTSHARE[[#This Row],[Fed Eligible
Cost]]*_xlfn.XLOOKUP(COSTSHARE[[#This Row],[CECRIS PIN]],CECPINDATA[CECRIS PIN],CECPINDATA[Fed %])</f>
        <v>0</v>
      </c>
      <c r="G31" s="39">
        <f>COSTSHARE[[#This Row],[Fed Eligible
Cost]]*_xlfn.XLOOKUP(COSTSHARE[[#This Row],[CECRIS PIN]],CECPINDATA[CECRIS PIN],CECPINDATA[State%])</f>
        <v>0</v>
      </c>
      <c r="H31" s="39">
        <f>COSTSHARE[[#This Row],[Fed Eligible
Cost]]*_xlfn.XLOOKUP(COSTSHARE[[#This Row],[CECRIS PIN]],CECPINDATA[CECRIS PIN],CECPINDATA[County %])</f>
        <v>0</v>
      </c>
      <c r="I31" s="40">
        <f>IFERROR(_xlfn.XLOOKUP(COSTSHARE[[#This Row],[CECRIS PIN]],COSTCALC[Residual of PIN],COSTCALC[NonFed Cost Claimed])*_xlfn.XLOOKUP(COSTSHARE[[#This Row],[CECRIS PIN]],CECPINDATA[Non Fed Residual Of],CECPINDATA[Fed %]),0)</f>
        <v>0</v>
      </c>
      <c r="J31" s="40">
        <f>IFERROR(_xlfn.XLOOKUP(COSTSHARE[[#This Row],[CECRIS PIN]],COSTCALC[Residual of PIN],COSTCALC[NonFed Cost Claimed])*_xlfn.XLOOKUP(COSTSHARE[[#This Row],[CECRIS PIN]],CECPINDATA[Non Fed Residual Of],CECPINDATA[State%]),0)</f>
        <v>0</v>
      </c>
      <c r="K31" s="40">
        <f>COSTSHARE[[#This Row],[Non-Fed Eligible Cost]]-COSTSHARE[[#This Row],[State Share
Non Elig Cost]]</f>
        <v>0</v>
      </c>
      <c r="L31" s="41">
        <f>COSTSHARE[[#This Row],[Fed Share
Elig Cost]]+COSTSHARE[[#This Row],[Fed Share
Non Elig Cost]]</f>
        <v>0</v>
      </c>
      <c r="M31" s="41">
        <f>COSTSHARE[[#This Row],[State Share
Elig Cost]]+COSTSHARE[[#This Row],[State Share
Non Elig Cost]]</f>
        <v>0</v>
      </c>
      <c r="N31" s="41">
        <f>COSTSHARE[[#This Row],[County Share
Elig Cost]]+COSTSHARE[[#This Row],[County Share
Non Elig Cost]]</f>
        <v>0</v>
      </c>
      <c r="O31" s="42">
        <f>COSTSHARE[[#This Row],[Total Cost]]-COSTSHARE[[#This Row],[Total Fed]]-COSTSHARE[[#This Row],[Total State]]-COSTSHARE[[#This Row],[Total County]]</f>
        <v>0</v>
      </c>
    </row>
    <row r="32" spans="1:15" x14ac:dyDescent="0.25">
      <c r="A32" s="35" t="s">
        <v>127</v>
      </c>
      <c r="B32" s="36" t="str">
        <f>_xlfn.XLOOKUP(COSTSHARE[[#This Row],[CECRIS PIN]],CECPINDATA[CECRIS PIN],CECPINDATA[Program Name])</f>
        <v>PROB FAM FIND INTERNAL PROB OR PRIVATE 3RD PARTY IN KIND MATCH</v>
      </c>
      <c r="C32" s="37">
        <f>_xlfn.XLOOKUP(COSTSHARE[[#This Row],[CECRIS PIN]],COSTCALC[CECRIS PIN],COSTCALC[Total Program Cost])</f>
        <v>0</v>
      </c>
      <c r="D32" s="50">
        <f>_xlfn.XLOOKUP(COSTSHARE[[#This Row],[CECRIS PIN]],COSTCALC[CECRIS PIN],COSTCALC[Federal Cost])</f>
        <v>0</v>
      </c>
      <c r="E32" s="38">
        <f>COSTSHARE[[#This Row],[Total Cost]]-COSTSHARE[[#This Row],[Fed Eligible
Cost]]</f>
        <v>0</v>
      </c>
      <c r="F32" s="39">
        <f>COSTSHARE[[#This Row],[Fed Eligible
Cost]]*_xlfn.XLOOKUP(COSTSHARE[[#This Row],[CECRIS PIN]],CECPINDATA[CECRIS PIN],CECPINDATA[Fed %])</f>
        <v>0</v>
      </c>
      <c r="G32" s="39">
        <f>COSTSHARE[[#This Row],[Fed Eligible
Cost]]*_xlfn.XLOOKUP(COSTSHARE[[#This Row],[CECRIS PIN]],CECPINDATA[CECRIS PIN],CECPINDATA[State%])</f>
        <v>0</v>
      </c>
      <c r="H32" s="39">
        <f>COSTSHARE[[#This Row],[Fed Eligible
Cost]]*_xlfn.XLOOKUP(COSTSHARE[[#This Row],[CECRIS PIN]],CECPINDATA[CECRIS PIN],CECPINDATA[County %])</f>
        <v>0</v>
      </c>
      <c r="I32" s="40">
        <f>IFERROR(_xlfn.XLOOKUP(COSTSHARE[[#This Row],[CECRIS PIN]],COSTCALC[Residual of PIN],COSTCALC[NonFed Cost Claimed])*_xlfn.XLOOKUP(COSTSHARE[[#This Row],[CECRIS PIN]],CECPINDATA[Non Fed Residual Of],CECPINDATA[Fed %]),0)</f>
        <v>0</v>
      </c>
      <c r="J32" s="40">
        <f>IFERROR(_xlfn.XLOOKUP(COSTSHARE[[#This Row],[CECRIS PIN]],COSTCALC[Residual of PIN],COSTCALC[NonFed Cost Claimed])*_xlfn.XLOOKUP(COSTSHARE[[#This Row],[CECRIS PIN]],CECPINDATA[Non Fed Residual Of],CECPINDATA[State%]),0)</f>
        <v>0</v>
      </c>
      <c r="K32" s="40">
        <f>COSTSHARE[[#This Row],[Non-Fed Eligible Cost]]-COSTSHARE[[#This Row],[State Share
Non Elig Cost]]</f>
        <v>0</v>
      </c>
      <c r="L32" s="41">
        <f>COSTSHARE[[#This Row],[Fed Share
Elig Cost]]+COSTSHARE[[#This Row],[Fed Share
Non Elig Cost]]</f>
        <v>0</v>
      </c>
      <c r="M32" s="41">
        <f>COSTSHARE[[#This Row],[State Share
Elig Cost]]+COSTSHARE[[#This Row],[State Share
Non Elig Cost]]</f>
        <v>0</v>
      </c>
      <c r="N32" s="41">
        <f>COSTSHARE[[#This Row],[County Share
Elig Cost]]+COSTSHARE[[#This Row],[County Share
Non Elig Cost]]</f>
        <v>0</v>
      </c>
      <c r="O32" s="42">
        <f>COSTSHARE[[#This Row],[Total Cost]]-COSTSHARE[[#This Row],[Total Fed]]-COSTSHARE[[#This Row],[Total State]]-COSTSHARE[[#This Row],[Total County]]</f>
        <v>0</v>
      </c>
    </row>
    <row r="33" spans="1:15" x14ac:dyDescent="0.25">
      <c r="A33" s="35" t="s">
        <v>129</v>
      </c>
      <c r="B33" s="36" t="str">
        <f>_xlfn.XLOOKUP(COSTSHARE[[#This Row],[CECRIS PIN]],CECPINDATA[CECRIS PIN],CECPINDATA[Program Name])</f>
        <v>PROB FAM FIND TRAINING DIR EXPEND OR PUBLIC 3RD PARTY IN KIND MATCH</v>
      </c>
      <c r="C33" s="37">
        <f>_xlfn.XLOOKUP(COSTSHARE[[#This Row],[CECRIS PIN]],COSTCALC[CECRIS PIN],COSTCALC[Total Program Cost])</f>
        <v>0</v>
      </c>
      <c r="D33" s="50">
        <f>_xlfn.XLOOKUP(COSTSHARE[[#This Row],[CECRIS PIN]],COSTCALC[CECRIS PIN],COSTCALC[Federal Cost])</f>
        <v>0</v>
      </c>
      <c r="E33" s="38">
        <f>COSTSHARE[[#This Row],[Total Cost]]-COSTSHARE[[#This Row],[Fed Eligible
Cost]]</f>
        <v>0</v>
      </c>
      <c r="F33" s="39">
        <f>COSTSHARE[[#This Row],[Fed Eligible
Cost]]*_xlfn.XLOOKUP(COSTSHARE[[#This Row],[CECRIS PIN]],CECPINDATA[CECRIS PIN],CECPINDATA[Fed %])</f>
        <v>0</v>
      </c>
      <c r="G33" s="39">
        <f>COSTSHARE[[#This Row],[Fed Eligible
Cost]]*_xlfn.XLOOKUP(COSTSHARE[[#This Row],[CECRIS PIN]],CECPINDATA[CECRIS PIN],CECPINDATA[State%])</f>
        <v>0</v>
      </c>
      <c r="H33" s="39">
        <f>COSTSHARE[[#This Row],[Fed Eligible
Cost]]*_xlfn.XLOOKUP(COSTSHARE[[#This Row],[CECRIS PIN]],CECPINDATA[CECRIS PIN],CECPINDATA[County %])</f>
        <v>0</v>
      </c>
      <c r="I33" s="40">
        <f>IFERROR(_xlfn.XLOOKUP(COSTSHARE[[#This Row],[CECRIS PIN]],COSTCALC[Residual of PIN],COSTCALC[NonFed Cost Claimed])*_xlfn.XLOOKUP(COSTSHARE[[#This Row],[CECRIS PIN]],CECPINDATA[Non Fed Residual Of],CECPINDATA[Fed %]),0)</f>
        <v>0</v>
      </c>
      <c r="J33" s="40">
        <f>IFERROR(_xlfn.XLOOKUP(COSTSHARE[[#This Row],[CECRIS PIN]],COSTCALC[Residual of PIN],COSTCALC[NonFed Cost Claimed])*_xlfn.XLOOKUP(COSTSHARE[[#This Row],[CECRIS PIN]],CECPINDATA[Non Fed Residual Of],CECPINDATA[State%]),0)</f>
        <v>0</v>
      </c>
      <c r="K33" s="40">
        <f>COSTSHARE[[#This Row],[Non-Fed Eligible Cost]]-COSTSHARE[[#This Row],[State Share
Non Elig Cost]]</f>
        <v>0</v>
      </c>
      <c r="L33" s="41">
        <f>COSTSHARE[[#This Row],[Fed Share
Elig Cost]]+COSTSHARE[[#This Row],[Fed Share
Non Elig Cost]]</f>
        <v>0</v>
      </c>
      <c r="M33" s="41">
        <f>COSTSHARE[[#This Row],[State Share
Elig Cost]]+COSTSHARE[[#This Row],[State Share
Non Elig Cost]]</f>
        <v>0</v>
      </c>
      <c r="N33" s="41">
        <f>COSTSHARE[[#This Row],[County Share
Elig Cost]]+COSTSHARE[[#This Row],[County Share
Non Elig Cost]]</f>
        <v>0</v>
      </c>
      <c r="O33" s="42">
        <f>COSTSHARE[[#This Row],[Total Cost]]-COSTSHARE[[#This Row],[Total Fed]]-COSTSHARE[[#This Row],[Total State]]-COSTSHARE[[#This Row],[Total County]]</f>
        <v>0</v>
      </c>
    </row>
    <row r="34" spans="1:15" x14ac:dyDescent="0.25">
      <c r="A34" s="35" t="s">
        <v>130</v>
      </c>
      <c r="B34" s="36" t="str">
        <f>_xlfn.XLOOKUP(COSTSHARE[[#This Row],[CECRIS PIN]],CECPINDATA[CECRIS PIN],CECPINDATA[Program Name])</f>
        <v>PROB FAM FIND TRAINING INTERNAL PROB OR PRIVATE 3RD PARTY IN KIND MATCH</v>
      </c>
      <c r="C34" s="37">
        <f>_xlfn.XLOOKUP(COSTSHARE[[#This Row],[CECRIS PIN]],COSTCALC[CECRIS PIN],COSTCALC[Total Program Cost])</f>
        <v>0</v>
      </c>
      <c r="D34" s="50">
        <f>_xlfn.XLOOKUP(COSTSHARE[[#This Row],[CECRIS PIN]],COSTCALC[CECRIS PIN],COSTCALC[Federal Cost])</f>
        <v>0</v>
      </c>
      <c r="E34" s="38">
        <f>COSTSHARE[[#This Row],[Total Cost]]-COSTSHARE[[#This Row],[Fed Eligible
Cost]]</f>
        <v>0</v>
      </c>
      <c r="F34" s="39">
        <f>COSTSHARE[[#This Row],[Fed Eligible
Cost]]*_xlfn.XLOOKUP(COSTSHARE[[#This Row],[CECRIS PIN]],CECPINDATA[CECRIS PIN],CECPINDATA[Fed %])</f>
        <v>0</v>
      </c>
      <c r="G34" s="39">
        <f>COSTSHARE[[#This Row],[Fed Eligible
Cost]]*_xlfn.XLOOKUP(COSTSHARE[[#This Row],[CECRIS PIN]],CECPINDATA[CECRIS PIN],CECPINDATA[State%])</f>
        <v>0</v>
      </c>
      <c r="H34" s="39">
        <f>COSTSHARE[[#This Row],[Fed Eligible
Cost]]*_xlfn.XLOOKUP(COSTSHARE[[#This Row],[CECRIS PIN]],CECPINDATA[CECRIS PIN],CECPINDATA[County %])</f>
        <v>0</v>
      </c>
      <c r="I34" s="40">
        <f>IFERROR(_xlfn.XLOOKUP(COSTSHARE[[#This Row],[CECRIS PIN]],COSTCALC[Residual of PIN],COSTCALC[NonFed Cost Claimed])*_xlfn.XLOOKUP(COSTSHARE[[#This Row],[CECRIS PIN]],CECPINDATA[Non Fed Residual Of],CECPINDATA[Fed %]),0)</f>
        <v>0</v>
      </c>
      <c r="J34" s="40">
        <f>IFERROR(_xlfn.XLOOKUP(COSTSHARE[[#This Row],[CECRIS PIN]],COSTCALC[Residual of PIN],COSTCALC[NonFed Cost Claimed])*_xlfn.XLOOKUP(COSTSHARE[[#This Row],[CECRIS PIN]],CECPINDATA[Non Fed Residual Of],CECPINDATA[State%]),0)</f>
        <v>0</v>
      </c>
      <c r="K34" s="40">
        <f>COSTSHARE[[#This Row],[Non-Fed Eligible Cost]]-COSTSHARE[[#This Row],[State Share
Non Elig Cost]]</f>
        <v>0</v>
      </c>
      <c r="L34" s="41">
        <f>COSTSHARE[[#This Row],[Fed Share
Elig Cost]]+COSTSHARE[[#This Row],[Fed Share
Non Elig Cost]]</f>
        <v>0</v>
      </c>
      <c r="M34" s="41">
        <f>COSTSHARE[[#This Row],[State Share
Elig Cost]]+COSTSHARE[[#This Row],[State Share
Non Elig Cost]]</f>
        <v>0</v>
      </c>
      <c r="N34" s="41">
        <f>COSTSHARE[[#This Row],[County Share
Elig Cost]]+COSTSHARE[[#This Row],[County Share
Non Elig Cost]]</f>
        <v>0</v>
      </c>
      <c r="O34" s="42">
        <f>COSTSHARE[[#This Row],[Total Cost]]-COSTSHARE[[#This Row],[Total Fed]]-COSTSHARE[[#This Row],[Total State]]-COSTSHARE[[#This Row],[Total County]]</f>
        <v>0</v>
      </c>
    </row>
    <row r="35" spans="1:15" x14ac:dyDescent="0.25">
      <c r="A35" s="31" t="s">
        <v>66</v>
      </c>
      <c r="B35" s="31"/>
      <c r="C35" s="49">
        <f>SUBTOTAL(109,COSTSHARE[Total Cost])</f>
        <v>500447.57909304136</v>
      </c>
      <c r="D35" s="49">
        <f>SUBTOTAL(109,COSTSHARE[Fed Eligible
Cost])</f>
        <v>332148.04177188949</v>
      </c>
      <c r="E35" s="49">
        <f>SUBTOTAL(109,COSTSHARE[Non-Fed Eligible Cost])</f>
        <v>168299.53732115187</v>
      </c>
      <c r="F35" s="49">
        <f>SUBTOTAL(109,COSTSHARE[Fed Share
Elig Cost])</f>
        <v>151642.89769467208</v>
      </c>
      <c r="G35" s="49">
        <f>SUBTOTAL(109,COSTSHARE[State Share
Elig Cost])</f>
        <v>149116.38764262217</v>
      </c>
      <c r="H35" s="49">
        <f>SUBTOTAL(109,COSTSHARE[County Share
Elig Cost])</f>
        <v>31388.756434595249</v>
      </c>
      <c r="I35" s="49"/>
      <c r="J35" s="49">
        <f>SUBTOTAL(109,COSTSHARE[State Share
Non Elig Cost])</f>
        <v>148364.63600007602</v>
      </c>
      <c r="K35" s="49">
        <f>SUBTOTAL(109,COSTSHARE[County Share
Non Elig Cost])</f>
        <v>19934.901321075864</v>
      </c>
      <c r="L35" s="49">
        <f>SUBTOTAL(109,COSTSHARE[Total Fed])</f>
        <v>151642.89769467208</v>
      </c>
      <c r="M35" s="49">
        <f>SUBTOTAL(109,COSTSHARE[Total State])</f>
        <v>297481.02364269819</v>
      </c>
      <c r="N35" s="49">
        <f>SUBTOTAL(109,COSTSHARE[Total County])</f>
        <v>51323.657755671113</v>
      </c>
    </row>
  </sheetData>
  <mergeCells count="7">
    <mergeCell ref="L3:N3"/>
    <mergeCell ref="C3:E3"/>
    <mergeCell ref="F3:K3"/>
    <mergeCell ref="A3:B3"/>
    <mergeCell ref="C1:E2"/>
    <mergeCell ref="F1:K2"/>
    <mergeCell ref="A1:B2"/>
  </mergeCells>
  <printOptions horizontalCentered="1" verticalCentered="1"/>
  <pageMargins left="0.25" right="0.25" top="0.5" bottom="0.5" header="0.25" footer="0.25"/>
  <pageSetup scale="58" orientation="landscape" r:id="rId1"/>
  <headerFooter scaleWithDoc="0" alignWithMargins="0">
    <oddHeader>&amp;R&amp;A</oddHeader>
    <oddFooter>&amp;L&amp;F&amp;R&amp;D</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0" id="{2743675A-EA91-4666-837F-1129A6F8F5EB}">
            <x14:iconSet showValue="0" custom="1">
              <x14:cfvo type="percent">
                <xm:f>0</xm:f>
              </x14:cfvo>
              <x14:cfvo type="num">
                <xm:f>0</xm:f>
              </x14:cfvo>
              <x14:cfvo type="num" gte="0">
                <xm:f>0</xm:f>
              </x14:cfvo>
              <x14:cfIcon iconSet="3Symbols" iconId="0"/>
              <x14:cfIcon iconSet="3Symbols" iconId="2"/>
              <x14:cfIcon iconSet="3Symbols" iconId="0"/>
            </x14:iconSet>
          </x14:cfRule>
          <xm:sqref>O5:O34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C424F-F13D-4A58-A93E-E0E6882DC8CD}">
  <sheetPr>
    <tabColor theme="8" tint="0.79998168889431442"/>
  </sheetPr>
  <dimension ref="A1:B18"/>
  <sheetViews>
    <sheetView workbookViewId="0">
      <selection activeCell="B20" sqref="B20"/>
    </sheetView>
  </sheetViews>
  <sheetFormatPr defaultRowHeight="15" x14ac:dyDescent="0.25"/>
  <cols>
    <col min="1" max="1" width="23.5703125" style="31" bestFit="1" customWidth="1"/>
    <col min="2" max="2" width="18.5703125" style="31" bestFit="1" customWidth="1"/>
    <col min="3" max="3" width="14.28515625" style="31" bestFit="1" customWidth="1"/>
    <col min="4" max="16384" width="9.140625" style="31"/>
  </cols>
  <sheetData>
    <row r="1" spans="1:2" ht="62.25" customHeight="1" x14ac:dyDescent="0.25">
      <c r="A1" s="134" t="s">
        <v>200</v>
      </c>
      <c r="B1" s="135"/>
    </row>
    <row r="2" spans="1:2" x14ac:dyDescent="0.25">
      <c r="A2" s="10" t="s">
        <v>93</v>
      </c>
      <c r="B2" s="10" t="s">
        <v>88</v>
      </c>
    </row>
    <row r="3" spans="1:2" x14ac:dyDescent="0.25">
      <c r="A3" s="31" t="s">
        <v>73</v>
      </c>
      <c r="B3" s="32">
        <v>120000</v>
      </c>
    </row>
    <row r="4" spans="1:2" x14ac:dyDescent="0.25">
      <c r="A4" s="31" t="s">
        <v>74</v>
      </c>
      <c r="B4" s="32">
        <v>120000</v>
      </c>
    </row>
    <row r="5" spans="1:2" x14ac:dyDescent="0.25">
      <c r="A5" s="31" t="s">
        <v>75</v>
      </c>
      <c r="B5" s="32">
        <v>120000</v>
      </c>
    </row>
    <row r="6" spans="1:2" x14ac:dyDescent="0.25">
      <c r="A6" s="31" t="s">
        <v>76</v>
      </c>
      <c r="B6" s="32">
        <v>120000</v>
      </c>
    </row>
    <row r="7" spans="1:2" x14ac:dyDescent="0.25">
      <c r="A7" s="31" t="s">
        <v>77</v>
      </c>
      <c r="B7" s="32">
        <v>120000</v>
      </c>
    </row>
    <row r="8" spans="1:2" x14ac:dyDescent="0.25">
      <c r="A8" s="31" t="s">
        <v>78</v>
      </c>
      <c r="B8" s="32">
        <v>120000</v>
      </c>
    </row>
    <row r="9" spans="1:2" x14ac:dyDescent="0.25">
      <c r="A9" s="31" t="s">
        <v>79</v>
      </c>
      <c r="B9" s="32">
        <v>120000</v>
      </c>
    </row>
    <row r="10" spans="1:2" x14ac:dyDescent="0.25">
      <c r="A10" s="31" t="s">
        <v>80</v>
      </c>
      <c r="B10" s="32">
        <v>120000</v>
      </c>
    </row>
    <row r="11" spans="1:2" x14ac:dyDescent="0.25">
      <c r="A11" s="31" t="s">
        <v>81</v>
      </c>
      <c r="B11" s="32">
        <v>120000</v>
      </c>
    </row>
    <row r="12" spans="1:2" x14ac:dyDescent="0.25">
      <c r="A12" s="31" t="s">
        <v>82</v>
      </c>
      <c r="B12" s="32">
        <v>120000</v>
      </c>
    </row>
    <row r="13" spans="1:2" x14ac:dyDescent="0.25">
      <c r="A13" s="31" t="s">
        <v>83</v>
      </c>
      <c r="B13" s="32">
        <v>120000</v>
      </c>
    </row>
    <row r="14" spans="1:2" x14ac:dyDescent="0.25">
      <c r="A14" s="31" t="s">
        <v>84</v>
      </c>
      <c r="B14" s="32">
        <v>120000</v>
      </c>
    </row>
    <row r="15" spans="1:2" x14ac:dyDescent="0.25">
      <c r="A15" s="31" t="s">
        <v>85</v>
      </c>
      <c r="B15" s="32">
        <v>120000</v>
      </c>
    </row>
    <row r="16" spans="1:2" x14ac:dyDescent="0.25">
      <c r="A16" s="31" t="s">
        <v>86</v>
      </c>
      <c r="B16" s="32">
        <v>120000</v>
      </c>
    </row>
    <row r="17" spans="1:2" x14ac:dyDescent="0.25">
      <c r="A17" s="31" t="s">
        <v>87</v>
      </c>
      <c r="B17" s="32">
        <v>120000</v>
      </c>
    </row>
    <row r="18" spans="1:2" x14ac:dyDescent="0.25">
      <c r="A18" s="31" t="s">
        <v>66</v>
      </c>
      <c r="B18" s="32">
        <f>SUBTOTAL(109,PAYDATA[Amount])</f>
        <v>1800000</v>
      </c>
    </row>
  </sheetData>
  <mergeCells count="1">
    <mergeCell ref="A1:B1"/>
  </mergeCells>
  <phoneticPr fontId="3"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5F9F2-E582-49CB-B8CA-74F39EDADC04}">
  <sheetPr>
    <tabColor theme="8" tint="0.79998168889431442"/>
  </sheetPr>
  <dimension ref="A1:C33"/>
  <sheetViews>
    <sheetView topLeftCell="A4" workbookViewId="0">
      <selection activeCell="B20" sqref="B20"/>
    </sheetView>
  </sheetViews>
  <sheetFormatPr defaultRowHeight="15.75" x14ac:dyDescent="0.25"/>
  <cols>
    <col min="1" max="1" width="16.140625" style="52" customWidth="1"/>
    <col min="2" max="2" width="90.28515625" style="52" bestFit="1" customWidth="1"/>
    <col min="3" max="3" width="14.140625" style="52" customWidth="1"/>
    <col min="4" max="16384" width="9.140625" style="52"/>
  </cols>
  <sheetData>
    <row r="1" spans="1:3" x14ac:dyDescent="0.25">
      <c r="A1" s="136" t="s">
        <v>99</v>
      </c>
      <c r="B1" s="136"/>
      <c r="C1" s="136"/>
    </row>
    <row r="2" spans="1:3" x14ac:dyDescent="0.25">
      <c r="A2" s="12" t="s">
        <v>63</v>
      </c>
      <c r="B2" s="12" t="s">
        <v>147</v>
      </c>
      <c r="C2" s="12" t="s">
        <v>96</v>
      </c>
    </row>
    <row r="3" spans="1:3" x14ac:dyDescent="0.25">
      <c r="A3" s="11" t="s">
        <v>115</v>
      </c>
      <c r="B3" s="11" t="str">
        <f>_xlfn.XLOOKUP(COSTSUMM[[#This Row],[CECRIS PIN]],CECPINDATA[CECRIS PIN],CECPINDATA[Program Name])</f>
        <v>PROB PUBLIC AGENCY IVE PASS THROUGH</v>
      </c>
      <c r="C3" s="72"/>
    </row>
    <row r="4" spans="1:3" x14ac:dyDescent="0.25">
      <c r="A4" s="11" t="s">
        <v>27</v>
      </c>
      <c r="B4" s="11" t="str">
        <f>_xlfn.XLOOKUP(COSTSUMM[[#This Row],[CECRIS PIN]],CECPINDATA[CECRIS PIN],CECPINDATA[Program Name])</f>
        <v>PROB IVE CASE MANAGEMENT</v>
      </c>
      <c r="C4" s="72"/>
    </row>
    <row r="5" spans="1:3" x14ac:dyDescent="0.25">
      <c r="A5" s="11" t="s">
        <v>29</v>
      </c>
      <c r="B5" s="11" t="str">
        <f>_xlfn.XLOOKUP(COSTSUMM[[#This Row],[CECRIS PIN]],CECPINDATA[CECRIS PIN],CECPINDATA[Program Name])</f>
        <v>PROB IVE PRE PLACEMENT PREV</v>
      </c>
      <c r="C5" s="72"/>
    </row>
    <row r="6" spans="1:3" x14ac:dyDescent="0.25">
      <c r="A6" s="11" t="s">
        <v>31</v>
      </c>
      <c r="B6" s="11" t="str">
        <f>_xlfn.XLOOKUP(COSTSUMM[[#This Row],[CECRIS PIN]],CECPINDATA[CECRIS PIN],CECPINDATA[Program Name])</f>
        <v>PROB IVE TRAINING</v>
      </c>
      <c r="C6" s="72"/>
    </row>
    <row r="7" spans="1:3" x14ac:dyDescent="0.25">
      <c r="A7" s="11" t="s">
        <v>33</v>
      </c>
      <c r="B7" s="11" t="str">
        <f>_xlfn.XLOOKUP(COSTSUMM[[#This Row],[CECRIS PIN]],CECPINDATA[CECRIS PIN],CECPINDATA[Program Name])</f>
        <v>PROB FED TRAINING PREVENT SEX TRAFFICKING</v>
      </c>
      <c r="C7" s="72"/>
    </row>
    <row r="8" spans="1:3" x14ac:dyDescent="0.25">
      <c r="A8" s="11" t="s">
        <v>117</v>
      </c>
      <c r="B8" s="11" t="str">
        <f>_xlfn.XLOOKUP(COSTSUMM[[#This Row],[CECRIS PIN]],CECPINDATA[CECRIS PIN],CECPINDATA[Program Name])</f>
        <v>PROB HBFC LOCP FED</v>
      </c>
      <c r="C8" s="72"/>
    </row>
    <row r="9" spans="1:3" x14ac:dyDescent="0.25">
      <c r="A9" s="11" t="s">
        <v>35</v>
      </c>
      <c r="B9" s="11" t="str">
        <f>_xlfn.XLOOKUP(COSTSUMM[[#This Row],[CECRIS PIN]],CECPINDATA[CECRIS PIN],CECPINDATA[Program Name])</f>
        <v>PROB MONTHLY VISITS/GROUP HOMES</v>
      </c>
      <c r="C9" s="72">
        <v>4600</v>
      </c>
    </row>
    <row r="10" spans="1:3" x14ac:dyDescent="0.25">
      <c r="A10" s="11" t="s">
        <v>3</v>
      </c>
      <c r="B10" s="11" t="str">
        <f>_xlfn.XLOOKUP(COSTSUMM[[#This Row],[CECRIS PIN]],CECPINDATA[CECRIS PIN],CECPINDATA[Program Name])</f>
        <v>PROB WRAPAROUND AFTERCARE SERVICES</v>
      </c>
      <c r="C10" s="72"/>
    </row>
    <row r="11" spans="1:3" x14ac:dyDescent="0.25">
      <c r="A11" s="11" t="s">
        <v>41</v>
      </c>
      <c r="B11" s="11" t="str">
        <f>_xlfn.XLOOKUP(COSTSUMM[[#This Row],[CECRIS PIN]],CECPINDATA[CECRIS PIN],CECPINDATA[Program Name])</f>
        <v>PROB EFC GH MO VISITS</v>
      </c>
      <c r="C11" s="72">
        <v>6000</v>
      </c>
    </row>
    <row r="12" spans="1:3" x14ac:dyDescent="0.25">
      <c r="A12" s="11" t="s">
        <v>121</v>
      </c>
      <c r="B12" s="11" t="str">
        <f>_xlfn.XLOOKUP(COSTSUMM[[#This Row],[CECRIS PIN]],CECPINDATA[CECRIS PIN],CECPINDATA[Program Name])</f>
        <v>PROB EFC PUBLIC AGENCY IVE PASS THROUGH</v>
      </c>
      <c r="C12" s="72"/>
    </row>
    <row r="13" spans="1:3" x14ac:dyDescent="0.25">
      <c r="A13" s="11" t="s">
        <v>43</v>
      </c>
      <c r="B13" s="11" t="str">
        <f>_xlfn.XLOOKUP(COSTSUMM[[#This Row],[CECRIS PIN]],CECPINDATA[CECRIS PIN],CECPINDATA[Program Name])</f>
        <v>PROB EFC CASE MANAGEMENT</v>
      </c>
      <c r="C13" s="72"/>
    </row>
    <row r="14" spans="1:3" x14ac:dyDescent="0.25">
      <c r="A14" s="11" t="s">
        <v>45</v>
      </c>
      <c r="B14" s="11" t="str">
        <f>_xlfn.XLOOKUP(COSTSUMM[[#This Row],[CECRIS PIN]],CECPINDATA[CECRIS PIN],CECPINDATA[Program Name])</f>
        <v>PROB EFC IVE TRAINING</v>
      </c>
      <c r="C14" s="72"/>
    </row>
    <row r="15" spans="1:3" x14ac:dyDescent="0.25">
      <c r="A15" s="11" t="s">
        <v>123</v>
      </c>
      <c r="B15" s="11" t="str">
        <f>_xlfn.XLOOKUP(COSTSUMM[[#This Row],[CECRIS PIN]],CECPINDATA[CECRIS PIN],CECPINDATA[Program Name])</f>
        <v>PROB EFC PROB IVE TRAINING ADMIN</v>
      </c>
      <c r="C15" s="72"/>
    </row>
    <row r="16" spans="1:3" x14ac:dyDescent="0.25">
      <c r="A16" s="11" t="s">
        <v>7</v>
      </c>
      <c r="B16" s="11" t="str">
        <f>_xlfn.XLOOKUP(COSTSUMM[[#This Row],[CECRIS PIN]],CECPINDATA[CECRIS PIN],CECPINDATA[Program Name])</f>
        <v>PROB ADMINISTRATIVE QI SUPPORT UNDER 18 FED</v>
      </c>
      <c r="C16" s="72"/>
    </row>
    <row r="17" spans="1:3" x14ac:dyDescent="0.25">
      <c r="A17" s="11" t="s">
        <v>10</v>
      </c>
      <c r="B17" s="11" t="str">
        <f>_xlfn.XLOOKUP(COSTSUMM[[#This Row],[CECRIS PIN]],CECPINDATA[CECRIS PIN],CECPINDATA[Program Name])</f>
        <v xml:space="preserve">PROB RESOURCE FAMILY APPROVAL PROB </v>
      </c>
      <c r="C17" s="72"/>
    </row>
    <row r="18" spans="1:3" x14ac:dyDescent="0.25">
      <c r="A18" s="11" t="s">
        <v>14</v>
      </c>
      <c r="B18" s="11" t="str">
        <f>_xlfn.XLOOKUP(COSTSUMM[[#This Row],[CECRIS PIN]],CECPINDATA[CECRIS PIN],CECPINDATA[Program Name])</f>
        <v>PROB ADMINISTRATIVE QI SUPPORT NMD FED</v>
      </c>
      <c r="C18" s="72"/>
    </row>
    <row r="19" spans="1:3" x14ac:dyDescent="0.25">
      <c r="A19" s="11" t="s">
        <v>47</v>
      </c>
      <c r="B19" s="11" t="str">
        <f>_xlfn.XLOOKUP(COSTSUMM[[#This Row],[CECRIS PIN]],CECPINDATA[CECRIS PIN],CECPINDATA[Program Name])</f>
        <v>PROB FED PREVENTING SEX TRAFFICKING &amp; RUNAWAY</v>
      </c>
      <c r="C19" s="72"/>
    </row>
    <row r="20" spans="1:3" x14ac:dyDescent="0.25">
      <c r="A20" s="11" t="s">
        <v>19</v>
      </c>
      <c r="B20" s="11" t="str">
        <f>_xlfn.XLOOKUP(COSTSUMM[[#This Row],[CECRIS PIN]],CECPINDATA[CECRIS PIN],CECPINDATA[Program Name])</f>
        <v>PROB CHILD &amp; FAMILY TEAM (CFT)</v>
      </c>
      <c r="C20" s="72"/>
    </row>
    <row r="21" spans="1:3" x14ac:dyDescent="0.25">
      <c r="A21" s="11" t="s">
        <v>49</v>
      </c>
      <c r="B21" s="11" t="str">
        <f>_xlfn.XLOOKUP(COSTSUMM[[#This Row],[CECRIS PIN]],CECPINDATA[CECRIS PIN],CECPINDATA[Program Name])</f>
        <v>PROB FED PREVENTING SEX TRAFFICKING–CANDIDATES</v>
      </c>
      <c r="C21" s="72"/>
    </row>
    <row r="22" spans="1:3" x14ac:dyDescent="0.25">
      <c r="A22" s="11" t="s">
        <v>23</v>
      </c>
      <c r="B22" s="11" t="str">
        <f>_xlfn.XLOOKUP(COSTSUMM[[#This Row],[CECRIS PIN]],CECPINDATA[CECRIS PIN],CECPINDATA[Program Name])</f>
        <v>PROB CFT NON FED DETENTION</v>
      </c>
      <c r="C22" s="72"/>
    </row>
    <row r="23" spans="1:3" x14ac:dyDescent="0.25">
      <c r="A23" s="11" t="s">
        <v>155</v>
      </c>
      <c r="B23" s="11" t="str">
        <f>_xlfn.XLOOKUP(COSTSUMM[[#This Row],[CECRIS PIN]],CECPINDATA[CECRIS PIN],CECPINDATA[Program Name])</f>
        <v>PROB CAPACITY BUILDING FED</v>
      </c>
      <c r="C23" s="72"/>
    </row>
    <row r="24" spans="1:3" x14ac:dyDescent="0.25">
      <c r="A24" s="11" t="s">
        <v>51</v>
      </c>
      <c r="B24" s="11" t="str">
        <f>_xlfn.XLOOKUP(COSTSUMM[[#This Row],[CECRIS PIN]],CECPINDATA[CECRIS PIN],CECPINDATA[Program Name])</f>
        <v>PROB IVE PREVENTION ADMIN</v>
      </c>
      <c r="C24" s="72"/>
    </row>
    <row r="25" spans="1:3" x14ac:dyDescent="0.25">
      <c r="A25" s="11" t="s">
        <v>53</v>
      </c>
      <c r="B25" s="11" t="str">
        <f>_xlfn.XLOOKUP(COSTSUMM[[#This Row],[CECRIS PIN]],CECPINDATA[CECRIS PIN],CECPINDATA[Program Name])</f>
        <v>PROB IVE PREVENTION TRAINING</v>
      </c>
      <c r="C25" s="72"/>
    </row>
    <row r="26" spans="1:3" x14ac:dyDescent="0.25">
      <c r="A26" s="11" t="s">
        <v>55</v>
      </c>
      <c r="B26" s="11" t="str">
        <f>_xlfn.XLOOKUP(COSTSUMM[[#This Row],[CECRIS PIN]],CECPINDATA[CECRIS PIN],CECPINDATA[Program Name])</f>
        <v>PROB FFPS STATE BLOCK GRANT PREVENTION ADMIN &amp; TRAINING</v>
      </c>
      <c r="C26" s="72"/>
    </row>
    <row r="27" spans="1:3" x14ac:dyDescent="0.25">
      <c r="A27" s="11" t="s">
        <v>57</v>
      </c>
      <c r="B27" s="11" t="str">
        <f>_xlfn.XLOOKUP(COSTSUMM[[#This Row],[CECRIS PIN]],CECPINDATA[CECRIS PIN],CECPINDATA[Program Name])</f>
        <v>PROB FFPS STATE BLOCK GRANT PREVENTION SERVICES</v>
      </c>
      <c r="C27" s="72"/>
    </row>
    <row r="28" spans="1:3" x14ac:dyDescent="0.25">
      <c r="A28" s="11" t="s">
        <v>59</v>
      </c>
      <c r="B28" s="11" t="str">
        <f>_xlfn.XLOOKUP(COSTSUMM[[#This Row],[CECRIS PIN]],CECPINDATA[CECRIS PIN],CECPINDATA[Program Name])</f>
        <v>PROB FLEXIBLE FAMILY SUPPORTS &amp; HOME BASED FC</v>
      </c>
      <c r="C28" s="72"/>
    </row>
    <row r="29" spans="1:3" x14ac:dyDescent="0.25">
      <c r="A29" s="11" t="s">
        <v>125</v>
      </c>
      <c r="B29" s="11" t="str">
        <f>_xlfn.XLOOKUP(COSTSUMM[[#This Row],[CECRIS PIN]],CECPINDATA[CECRIS PIN],CECPINDATA[Program Name])</f>
        <v>PROB FAM FIND DIR EXPEND OR PUBLIC 3RD PARTY IN KIND MATCH</v>
      </c>
      <c r="C29" s="72"/>
    </row>
    <row r="30" spans="1:3" x14ac:dyDescent="0.25">
      <c r="A30" s="11" t="s">
        <v>127</v>
      </c>
      <c r="B30" s="11" t="str">
        <f>_xlfn.XLOOKUP(COSTSUMM[[#This Row],[CECRIS PIN]],CECPINDATA[CECRIS PIN],CECPINDATA[Program Name])</f>
        <v>PROB FAM FIND INTERNAL PROB OR PRIVATE 3RD PARTY IN KIND MATCH</v>
      </c>
      <c r="C30" s="72"/>
    </row>
    <row r="31" spans="1:3" x14ac:dyDescent="0.25">
      <c r="A31" s="11" t="s">
        <v>129</v>
      </c>
      <c r="B31" s="11" t="str">
        <f>_xlfn.XLOOKUP(COSTSUMM[[#This Row],[CECRIS PIN]],CECPINDATA[CECRIS PIN],CECPINDATA[Program Name])</f>
        <v>PROB FAM FIND TRAINING DIR EXPEND OR PUBLIC 3RD PARTY IN KIND MATCH</v>
      </c>
      <c r="C31" s="72"/>
    </row>
    <row r="32" spans="1:3" x14ac:dyDescent="0.25">
      <c r="A32" s="11" t="s">
        <v>130</v>
      </c>
      <c r="B32" s="11" t="str">
        <f>_xlfn.XLOOKUP(COSTSUMM[[#This Row],[CECRIS PIN]],CECPINDATA[CECRIS PIN],CECPINDATA[Program Name])</f>
        <v>PROB FAM FIND TRAINING INTERNAL PROB OR PRIVATE 3RD PARTY IN KIND MATCH</v>
      </c>
      <c r="C32" s="72"/>
    </row>
    <row r="33" spans="1:3" x14ac:dyDescent="0.25">
      <c r="A33" s="11" t="s">
        <v>66</v>
      </c>
      <c r="B33" s="11"/>
      <c r="C33" s="72">
        <f>SUBTOTAL(109,COSTSUMM[Cost])</f>
        <v>10600</v>
      </c>
    </row>
  </sheetData>
  <mergeCells count="1">
    <mergeCell ref="A1:C1"/>
  </mergeCells>
  <pageMargins left="0.7" right="0.7" top="0.75" bottom="0.75" header="0.3" footer="0.3"/>
  <pageSetup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355B-76E9-475F-8E4D-0BA20A32AB17}">
  <sheetPr>
    <tabColor theme="8" tint="0.79998168889431442"/>
  </sheetPr>
  <dimension ref="A1:E37"/>
  <sheetViews>
    <sheetView topLeftCell="A2" workbookViewId="0">
      <selection activeCell="C19" sqref="C19"/>
    </sheetView>
  </sheetViews>
  <sheetFormatPr defaultColWidth="8.85546875" defaultRowHeight="15.75" x14ac:dyDescent="0.25"/>
  <cols>
    <col min="1" max="1" width="13.28515625" style="11" customWidth="1"/>
    <col min="2" max="2" width="88.28515625" style="11" customWidth="1"/>
    <col min="3" max="5" width="12.140625" style="11" customWidth="1"/>
    <col min="6" max="16384" width="8.85546875" style="11"/>
  </cols>
  <sheetData>
    <row r="1" spans="1:5" ht="35.25" customHeight="1" x14ac:dyDescent="0.25">
      <c r="A1" s="138" t="s">
        <v>201</v>
      </c>
      <c r="B1" s="139"/>
      <c r="C1" s="139"/>
      <c r="D1" s="139"/>
      <c r="E1" s="140"/>
    </row>
    <row r="2" spans="1:5" ht="15.75" customHeight="1" x14ac:dyDescent="0.25">
      <c r="A2" s="137" t="s">
        <v>98</v>
      </c>
      <c r="B2" s="137"/>
      <c r="C2" s="137"/>
      <c r="D2" s="137"/>
      <c r="E2" s="137"/>
    </row>
    <row r="3" spans="1:5" s="12" customFormat="1" ht="31.5" x14ac:dyDescent="0.25">
      <c r="A3" s="12" t="s">
        <v>63</v>
      </c>
      <c r="B3" s="12" t="s">
        <v>147</v>
      </c>
      <c r="C3" s="12" t="s">
        <v>94</v>
      </c>
      <c r="D3" s="12" t="s">
        <v>68</v>
      </c>
      <c r="E3" s="12" t="s">
        <v>95</v>
      </c>
    </row>
    <row r="4" spans="1:5" x14ac:dyDescent="0.25">
      <c r="A4" s="11" t="s">
        <v>115</v>
      </c>
      <c r="B4" s="11" t="str">
        <f>_xlfn.XLOOKUP(TIMESTUDYSUMM[[#This Row],[CECRIS PIN]],CECPINDATA[CECRIS PIN],CECPINDATA[Program Name])</f>
        <v>PROB PUBLIC AGENCY IVE PASS THROUGH</v>
      </c>
      <c r="C4" s="13"/>
      <c r="D4" s="13">
        <f>TIMESTUDYSUMM[[#This Row],[All Hours]]</f>
        <v>0</v>
      </c>
      <c r="E4" s="14">
        <f>TIMESTUDYSUMM[[#This Row],[Allocable Hours]]/TIMESTUDYSUMM[[#Totals],[Allocable Hours]]</f>
        <v>0</v>
      </c>
    </row>
    <row r="5" spans="1:5" x14ac:dyDescent="0.25">
      <c r="A5" s="11" t="s">
        <v>27</v>
      </c>
      <c r="B5" s="11" t="str">
        <f>_xlfn.XLOOKUP(TIMESTUDYSUMM[[#This Row],[CECRIS PIN]],CECPINDATA[CECRIS PIN],CECPINDATA[Program Name])</f>
        <v>PROB IVE CASE MANAGEMENT</v>
      </c>
      <c r="C5" s="13">
        <v>0</v>
      </c>
      <c r="D5" s="13">
        <f>TIMESTUDYSUMM[[#This Row],[All Hours]]</f>
        <v>0</v>
      </c>
      <c r="E5" s="14">
        <f>TIMESTUDYSUMM[[#This Row],[Allocable Hours]]/TIMESTUDYSUMM[[#Totals],[Allocable Hours]]</f>
        <v>0</v>
      </c>
    </row>
    <row r="6" spans="1:5" x14ac:dyDescent="0.25">
      <c r="A6" s="11" t="s">
        <v>29</v>
      </c>
      <c r="B6" s="11" t="str">
        <f>_xlfn.XLOOKUP(TIMESTUDYSUMM[[#This Row],[CECRIS PIN]],CECPINDATA[CECRIS PIN],CECPINDATA[Program Name])</f>
        <v>PROB IVE PRE PLACEMENT PREV</v>
      </c>
      <c r="C6" s="13">
        <v>0</v>
      </c>
      <c r="D6" s="13">
        <f>TIMESTUDYSUMM[[#This Row],[All Hours]]</f>
        <v>0</v>
      </c>
      <c r="E6" s="14">
        <f>TIMESTUDYSUMM[[#This Row],[Allocable Hours]]/TIMESTUDYSUMM[[#Totals],[Allocable Hours]]</f>
        <v>0</v>
      </c>
    </row>
    <row r="7" spans="1:5" x14ac:dyDescent="0.25">
      <c r="A7" s="11" t="s">
        <v>31</v>
      </c>
      <c r="B7" s="11" t="str">
        <f>_xlfn.XLOOKUP(TIMESTUDYSUMM[[#This Row],[CECRIS PIN]],CECPINDATA[CECRIS PIN],CECPINDATA[Program Name])</f>
        <v>PROB IVE TRAINING</v>
      </c>
      <c r="C7" s="13">
        <v>28.5</v>
      </c>
      <c r="D7" s="13">
        <f>TIMESTUDYSUMM[[#This Row],[All Hours]]</f>
        <v>28.5</v>
      </c>
      <c r="E7" s="14">
        <f>TIMESTUDYSUMM[[#This Row],[Allocable Hours]]/TIMESTUDYSUMM[[#Totals],[Allocable Hours]]</f>
        <v>1.8883551432830877E-2</v>
      </c>
    </row>
    <row r="8" spans="1:5" x14ac:dyDescent="0.25">
      <c r="A8" s="11" t="s">
        <v>33</v>
      </c>
      <c r="B8" s="11" t="str">
        <f>_xlfn.XLOOKUP(TIMESTUDYSUMM[[#This Row],[CECRIS PIN]],CECPINDATA[CECRIS PIN],CECPINDATA[Program Name])</f>
        <v>PROB FED TRAINING PREVENT SEX TRAFFICKING</v>
      </c>
      <c r="C8" s="13"/>
      <c r="D8" s="13">
        <f>TIMESTUDYSUMM[[#This Row],[All Hours]]</f>
        <v>0</v>
      </c>
      <c r="E8" s="14">
        <f>TIMESTUDYSUMM[[#This Row],[Allocable Hours]]/TIMESTUDYSUMM[[#Totals],[Allocable Hours]]</f>
        <v>0</v>
      </c>
    </row>
    <row r="9" spans="1:5" x14ac:dyDescent="0.25">
      <c r="A9" s="11" t="s">
        <v>117</v>
      </c>
      <c r="B9" s="11" t="str">
        <f>_xlfn.XLOOKUP(TIMESTUDYSUMM[[#This Row],[CECRIS PIN]],CECPINDATA[CECRIS PIN],CECPINDATA[Program Name])</f>
        <v>PROB HBFC LOCP FED</v>
      </c>
      <c r="C9" s="13"/>
      <c r="D9" s="13">
        <f>TIMESTUDYSUMM[[#This Row],[All Hours]]</f>
        <v>0</v>
      </c>
      <c r="E9" s="14">
        <f>TIMESTUDYSUMM[[#This Row],[Allocable Hours]]/TIMESTUDYSUMM[[#Totals],[Allocable Hours]]</f>
        <v>0</v>
      </c>
    </row>
    <row r="10" spans="1:5" x14ac:dyDescent="0.25">
      <c r="A10" s="11" t="s">
        <v>35</v>
      </c>
      <c r="B10" s="11" t="str">
        <f>_xlfn.XLOOKUP(TIMESTUDYSUMM[[#This Row],[CECRIS PIN]],CECPINDATA[CECRIS PIN],CECPINDATA[Program Name])</f>
        <v>PROB MONTHLY VISITS/GROUP HOMES</v>
      </c>
      <c r="C10" s="13">
        <v>65</v>
      </c>
      <c r="D10" s="13">
        <f>TIMESTUDYSUMM[[#This Row],[All Hours]]</f>
        <v>65</v>
      </c>
      <c r="E10" s="14">
        <f>TIMESTUDYSUMM[[#This Row],[Allocable Hours]]/TIMESTUDYSUMM[[#Totals],[Allocable Hours]]</f>
        <v>4.3067748881894984E-2</v>
      </c>
    </row>
    <row r="11" spans="1:5" x14ac:dyDescent="0.25">
      <c r="A11" s="11" t="s">
        <v>3</v>
      </c>
      <c r="B11" s="11" t="str">
        <f>_xlfn.XLOOKUP(TIMESTUDYSUMM[[#This Row],[CECRIS PIN]],CECPINDATA[CECRIS PIN],CECPINDATA[Program Name])</f>
        <v>PROB WRAPAROUND AFTERCARE SERVICES</v>
      </c>
      <c r="C11" s="13">
        <v>24.25</v>
      </c>
      <c r="D11" s="13">
        <f>TIMESTUDYSUMM[[#This Row],[All Hours]]</f>
        <v>24.25</v>
      </c>
      <c r="E11" s="14">
        <f>TIMESTUDYSUMM[[#This Row],[Allocable Hours]]/TIMESTUDYSUMM[[#Totals],[Allocable Hours]]</f>
        <v>1.6067583236706973E-2</v>
      </c>
    </row>
    <row r="12" spans="1:5" x14ac:dyDescent="0.25">
      <c r="A12" s="11" t="s">
        <v>41</v>
      </c>
      <c r="B12" s="11" t="str">
        <f>_xlfn.XLOOKUP(TIMESTUDYSUMM[[#This Row],[CECRIS PIN]],CECPINDATA[CECRIS PIN],CECPINDATA[Program Name])</f>
        <v>PROB EFC GH MO VISITS</v>
      </c>
      <c r="C12" s="13">
        <v>61.5</v>
      </c>
      <c r="D12" s="13">
        <f>TIMESTUDYSUMM[[#This Row],[All Hours]]</f>
        <v>61.5</v>
      </c>
      <c r="E12" s="14">
        <f>TIMESTUDYSUMM[[#This Row],[Allocable Hours]]/TIMESTUDYSUMM[[#Totals],[Allocable Hours]]</f>
        <v>4.0748716249792941E-2</v>
      </c>
    </row>
    <row r="13" spans="1:5" x14ac:dyDescent="0.25">
      <c r="A13" s="11" t="s">
        <v>121</v>
      </c>
      <c r="B13" s="11" t="str">
        <f>_xlfn.XLOOKUP(TIMESTUDYSUMM[[#This Row],[CECRIS PIN]],CECPINDATA[CECRIS PIN],CECPINDATA[Program Name])</f>
        <v>PROB EFC PUBLIC AGENCY IVE PASS THROUGH</v>
      </c>
      <c r="C13" s="13"/>
      <c r="D13" s="13">
        <f>TIMESTUDYSUMM[[#This Row],[All Hours]]</f>
        <v>0</v>
      </c>
      <c r="E13" s="14">
        <f>TIMESTUDYSUMM[[#This Row],[Allocable Hours]]/TIMESTUDYSUMM[[#Totals],[Allocable Hours]]</f>
        <v>0</v>
      </c>
    </row>
    <row r="14" spans="1:5" x14ac:dyDescent="0.25">
      <c r="A14" s="11" t="s">
        <v>43</v>
      </c>
      <c r="B14" s="11" t="str">
        <f>_xlfn.XLOOKUP(TIMESTUDYSUMM[[#This Row],[CECRIS PIN]],CECPINDATA[CECRIS PIN],CECPINDATA[Program Name])</f>
        <v>PROB EFC CASE MANAGEMENT</v>
      </c>
      <c r="C14" s="13"/>
      <c r="D14" s="13">
        <f>TIMESTUDYSUMM[[#This Row],[All Hours]]</f>
        <v>0</v>
      </c>
      <c r="E14" s="14">
        <f>TIMESTUDYSUMM[[#This Row],[Allocable Hours]]/TIMESTUDYSUMM[[#Totals],[Allocable Hours]]</f>
        <v>0</v>
      </c>
    </row>
    <row r="15" spans="1:5" x14ac:dyDescent="0.25">
      <c r="A15" s="11" t="s">
        <v>45</v>
      </c>
      <c r="B15" s="11" t="str">
        <f>_xlfn.XLOOKUP(TIMESTUDYSUMM[[#This Row],[CECRIS PIN]],CECPINDATA[CECRIS PIN],CECPINDATA[Program Name])</f>
        <v>PROB EFC IVE TRAINING</v>
      </c>
      <c r="C15" s="13"/>
      <c r="D15" s="13">
        <f>TIMESTUDYSUMM[[#This Row],[All Hours]]</f>
        <v>0</v>
      </c>
      <c r="E15" s="14">
        <f>TIMESTUDYSUMM[[#This Row],[Allocable Hours]]/TIMESTUDYSUMM[[#Totals],[Allocable Hours]]</f>
        <v>0</v>
      </c>
    </row>
    <row r="16" spans="1:5" x14ac:dyDescent="0.25">
      <c r="A16" s="11" t="s">
        <v>123</v>
      </c>
      <c r="B16" s="11" t="str">
        <f>_xlfn.XLOOKUP(TIMESTUDYSUMM[[#This Row],[CECRIS PIN]],CECPINDATA[CECRIS PIN],CECPINDATA[Program Name])</f>
        <v>PROB EFC PROB IVE TRAINING ADMIN</v>
      </c>
      <c r="C16" s="13"/>
      <c r="D16" s="13">
        <f>TIMESTUDYSUMM[[#This Row],[All Hours]]</f>
        <v>0</v>
      </c>
      <c r="E16" s="14">
        <f>TIMESTUDYSUMM[[#This Row],[Allocable Hours]]/TIMESTUDYSUMM[[#Totals],[Allocable Hours]]</f>
        <v>0</v>
      </c>
    </row>
    <row r="17" spans="1:5" x14ac:dyDescent="0.25">
      <c r="A17" s="11" t="s">
        <v>7</v>
      </c>
      <c r="B17" s="11" t="str">
        <f>_xlfn.XLOOKUP(TIMESTUDYSUMM[[#This Row],[CECRIS PIN]],CECPINDATA[CECRIS PIN],CECPINDATA[Program Name])</f>
        <v>PROB ADMINISTRATIVE QI SUPPORT UNDER 18 FED</v>
      </c>
      <c r="C17" s="13"/>
      <c r="D17" s="13">
        <f>TIMESTUDYSUMM[[#This Row],[All Hours]]</f>
        <v>0</v>
      </c>
      <c r="E17" s="14">
        <f>TIMESTUDYSUMM[[#This Row],[Allocable Hours]]/TIMESTUDYSUMM[[#Totals],[Allocable Hours]]</f>
        <v>0</v>
      </c>
    </row>
    <row r="18" spans="1:5" x14ac:dyDescent="0.25">
      <c r="A18" s="11" t="s">
        <v>10</v>
      </c>
      <c r="B18" s="11" t="str">
        <f>_xlfn.XLOOKUP(TIMESTUDYSUMM[[#This Row],[CECRIS PIN]],CECPINDATA[CECRIS PIN],CECPINDATA[Program Name])</f>
        <v xml:space="preserve">PROB RESOURCE FAMILY APPROVAL PROB </v>
      </c>
      <c r="C18" s="13">
        <v>80</v>
      </c>
      <c r="D18" s="13">
        <f>TIMESTUDYSUMM[[#This Row],[All Hours]]</f>
        <v>80</v>
      </c>
      <c r="E18" s="14">
        <f>TIMESTUDYSUMM[[#This Row],[Allocable Hours]]/TIMESTUDYSUMM[[#Totals],[Allocable Hours]]</f>
        <v>5.3006460162332285E-2</v>
      </c>
    </row>
    <row r="19" spans="1:5" x14ac:dyDescent="0.25">
      <c r="A19" s="11" t="s">
        <v>14</v>
      </c>
      <c r="B19" s="11" t="str">
        <f>_xlfn.XLOOKUP(TIMESTUDYSUMM[[#This Row],[CECRIS PIN]],CECPINDATA[CECRIS PIN],CECPINDATA[Program Name])</f>
        <v>PROB ADMINISTRATIVE QI SUPPORT NMD FED</v>
      </c>
      <c r="C19" s="13"/>
      <c r="D19" s="13">
        <f>TIMESTUDYSUMM[[#This Row],[All Hours]]</f>
        <v>0</v>
      </c>
      <c r="E19" s="14">
        <f>TIMESTUDYSUMM[[#This Row],[Allocable Hours]]/TIMESTUDYSUMM[[#Totals],[Allocable Hours]]</f>
        <v>0</v>
      </c>
    </row>
    <row r="20" spans="1:5" x14ac:dyDescent="0.25">
      <c r="A20" s="11" t="s">
        <v>47</v>
      </c>
      <c r="B20" s="11" t="str">
        <f>_xlfn.XLOOKUP(TIMESTUDYSUMM[[#This Row],[CECRIS PIN]],CECPINDATA[CECRIS PIN],CECPINDATA[Program Name])</f>
        <v>PROB FED PREVENTING SEX TRAFFICKING &amp; RUNAWAY</v>
      </c>
      <c r="C20" s="13"/>
      <c r="D20" s="13">
        <f>TIMESTUDYSUMM[[#This Row],[All Hours]]</f>
        <v>0</v>
      </c>
      <c r="E20" s="14">
        <f>TIMESTUDYSUMM[[#This Row],[Allocable Hours]]/TIMESTUDYSUMM[[#Totals],[Allocable Hours]]</f>
        <v>0</v>
      </c>
    </row>
    <row r="21" spans="1:5" x14ac:dyDescent="0.25">
      <c r="A21" s="11" t="s">
        <v>19</v>
      </c>
      <c r="B21" s="11" t="str">
        <f>_xlfn.XLOOKUP(TIMESTUDYSUMM[[#This Row],[CECRIS PIN]],CECPINDATA[CECRIS PIN],CECPINDATA[Program Name])</f>
        <v>PROB CHILD &amp; FAMILY TEAM (CFT)</v>
      </c>
      <c r="C21" s="13"/>
      <c r="D21" s="13">
        <f>TIMESTUDYSUMM[[#This Row],[All Hours]]</f>
        <v>0</v>
      </c>
      <c r="E21" s="14">
        <f>TIMESTUDYSUMM[[#This Row],[Allocable Hours]]/TIMESTUDYSUMM[[#Totals],[Allocable Hours]]</f>
        <v>0</v>
      </c>
    </row>
    <row r="22" spans="1:5" x14ac:dyDescent="0.25">
      <c r="A22" s="11" t="s">
        <v>49</v>
      </c>
      <c r="B22" s="11" t="str">
        <f>_xlfn.XLOOKUP(TIMESTUDYSUMM[[#This Row],[CECRIS PIN]],CECPINDATA[CECRIS PIN],CECPINDATA[Program Name])</f>
        <v>PROB FED PREVENTING SEX TRAFFICKING–CANDIDATES</v>
      </c>
      <c r="C22" s="13"/>
      <c r="D22" s="13">
        <f>TIMESTUDYSUMM[[#This Row],[All Hours]]</f>
        <v>0</v>
      </c>
      <c r="E22" s="14">
        <f>TIMESTUDYSUMM[[#This Row],[Allocable Hours]]/TIMESTUDYSUMM[[#Totals],[Allocable Hours]]</f>
        <v>0</v>
      </c>
    </row>
    <row r="23" spans="1:5" x14ac:dyDescent="0.25">
      <c r="A23" s="11" t="s">
        <v>23</v>
      </c>
      <c r="B23" s="11" t="str">
        <f>_xlfn.XLOOKUP(TIMESTUDYSUMM[[#This Row],[CECRIS PIN]],CECPINDATA[CECRIS PIN],CECPINDATA[Program Name])</f>
        <v>PROB CFT NON FED DETENTION</v>
      </c>
      <c r="C23" s="13"/>
      <c r="D23" s="13">
        <f>TIMESTUDYSUMM[[#This Row],[All Hours]]</f>
        <v>0</v>
      </c>
      <c r="E23" s="14">
        <f>TIMESTUDYSUMM[[#This Row],[Allocable Hours]]/TIMESTUDYSUMM[[#Totals],[Allocable Hours]]</f>
        <v>0</v>
      </c>
    </row>
    <row r="24" spans="1:5" x14ac:dyDescent="0.25">
      <c r="A24" s="11" t="s">
        <v>155</v>
      </c>
      <c r="B24" s="11" t="str">
        <f>_xlfn.XLOOKUP(TIMESTUDYSUMM[[#This Row],[CECRIS PIN]],CECPINDATA[CECRIS PIN],CECPINDATA[Program Name])</f>
        <v>PROB CAPACITY BUILDING FED</v>
      </c>
      <c r="C24" s="13"/>
      <c r="D24" s="13">
        <f>TIMESTUDYSUMM[[#This Row],[All Hours]]</f>
        <v>0</v>
      </c>
      <c r="E24" s="14">
        <f>TIMESTUDYSUMM[[#This Row],[Allocable Hours]]/TIMESTUDYSUMM[[#Totals],[Allocable Hours]]</f>
        <v>0</v>
      </c>
    </row>
    <row r="25" spans="1:5" x14ac:dyDescent="0.25">
      <c r="A25" s="11" t="s">
        <v>51</v>
      </c>
      <c r="B25" s="11" t="str">
        <f>_xlfn.XLOOKUP(TIMESTUDYSUMM[[#This Row],[CECRIS PIN]],CECPINDATA[CECRIS PIN],CECPINDATA[Program Name])</f>
        <v>PROB IVE PREVENTION ADMIN</v>
      </c>
      <c r="C25" s="13"/>
      <c r="D25" s="13">
        <f>TIMESTUDYSUMM[[#This Row],[All Hours]]</f>
        <v>0</v>
      </c>
      <c r="E25" s="14">
        <f>TIMESTUDYSUMM[[#This Row],[Allocable Hours]]/TIMESTUDYSUMM[[#Totals],[Allocable Hours]]</f>
        <v>0</v>
      </c>
    </row>
    <row r="26" spans="1:5" x14ac:dyDescent="0.25">
      <c r="A26" s="11" t="s">
        <v>53</v>
      </c>
      <c r="B26" s="11" t="str">
        <f>_xlfn.XLOOKUP(TIMESTUDYSUMM[[#This Row],[CECRIS PIN]],CECPINDATA[CECRIS PIN],CECPINDATA[Program Name])</f>
        <v>PROB IVE PREVENTION TRAINING</v>
      </c>
      <c r="C26" s="13"/>
      <c r="D26" s="13">
        <f>TIMESTUDYSUMM[[#This Row],[All Hours]]</f>
        <v>0</v>
      </c>
      <c r="E26" s="14">
        <f>TIMESTUDYSUMM[[#This Row],[Allocable Hours]]/TIMESTUDYSUMM[[#Totals],[Allocable Hours]]</f>
        <v>0</v>
      </c>
    </row>
    <row r="27" spans="1:5" x14ac:dyDescent="0.25">
      <c r="A27" s="11" t="s">
        <v>55</v>
      </c>
      <c r="B27" s="11" t="str">
        <f>_xlfn.XLOOKUP(TIMESTUDYSUMM[[#This Row],[CECRIS PIN]],CECPINDATA[CECRIS PIN],CECPINDATA[Program Name])</f>
        <v>PROB FFPS STATE BLOCK GRANT PREVENTION ADMIN &amp; TRAINING</v>
      </c>
      <c r="C27" s="13"/>
      <c r="D27" s="13">
        <f>TIMESTUDYSUMM[[#This Row],[All Hours]]</f>
        <v>0</v>
      </c>
      <c r="E27" s="14">
        <f>TIMESTUDYSUMM[[#This Row],[Allocable Hours]]/TIMESTUDYSUMM[[#Totals],[Allocable Hours]]</f>
        <v>0</v>
      </c>
    </row>
    <row r="28" spans="1:5" x14ac:dyDescent="0.25">
      <c r="A28" s="11" t="s">
        <v>57</v>
      </c>
      <c r="B28" s="11" t="str">
        <f>_xlfn.XLOOKUP(TIMESTUDYSUMM[[#This Row],[CECRIS PIN]],CECPINDATA[CECRIS PIN],CECPINDATA[Program Name])</f>
        <v>PROB FFPS STATE BLOCK GRANT PREVENTION SERVICES</v>
      </c>
      <c r="C28" s="13"/>
      <c r="D28" s="13">
        <f>TIMESTUDYSUMM[[#This Row],[All Hours]]</f>
        <v>0</v>
      </c>
      <c r="E28" s="14">
        <f>TIMESTUDYSUMM[[#This Row],[Allocable Hours]]/TIMESTUDYSUMM[[#Totals],[Allocable Hours]]</f>
        <v>0</v>
      </c>
    </row>
    <row r="29" spans="1:5" x14ac:dyDescent="0.25">
      <c r="A29" s="11" t="s">
        <v>59</v>
      </c>
      <c r="B29" s="11" t="str">
        <f>_xlfn.XLOOKUP(TIMESTUDYSUMM[[#This Row],[CECRIS PIN]],CECPINDATA[CECRIS PIN],CECPINDATA[Program Name])</f>
        <v>PROB FLEXIBLE FAMILY SUPPORTS &amp; HOME BASED FC</v>
      </c>
      <c r="C29" s="13"/>
      <c r="D29" s="13">
        <f>TIMESTUDYSUMM[[#This Row],[All Hours]]</f>
        <v>0</v>
      </c>
      <c r="E29" s="14">
        <f>TIMESTUDYSUMM[[#This Row],[Allocable Hours]]/TIMESTUDYSUMM[[#Totals],[Allocable Hours]]</f>
        <v>0</v>
      </c>
    </row>
    <row r="30" spans="1:5" x14ac:dyDescent="0.25">
      <c r="A30" s="11" t="s">
        <v>125</v>
      </c>
      <c r="B30" s="11" t="str">
        <f>_xlfn.XLOOKUP(TIMESTUDYSUMM[[#This Row],[CECRIS PIN]],CECPINDATA[CECRIS PIN],CECPINDATA[Program Name])</f>
        <v>PROB FAM FIND DIR EXPEND OR PUBLIC 3RD PARTY IN KIND MATCH</v>
      </c>
      <c r="C30" s="13"/>
      <c r="D30" s="13">
        <f>TIMESTUDYSUMM[[#This Row],[All Hours]]</f>
        <v>0</v>
      </c>
      <c r="E30" s="14">
        <f>TIMESTUDYSUMM[[#This Row],[Allocable Hours]]/TIMESTUDYSUMM[[#Totals],[Allocable Hours]]</f>
        <v>0</v>
      </c>
    </row>
    <row r="31" spans="1:5" x14ac:dyDescent="0.25">
      <c r="A31" s="11" t="s">
        <v>127</v>
      </c>
      <c r="B31" s="11" t="str">
        <f>_xlfn.XLOOKUP(TIMESTUDYSUMM[[#This Row],[CECRIS PIN]],CECPINDATA[CECRIS PIN],CECPINDATA[Program Name])</f>
        <v>PROB FAM FIND INTERNAL PROB OR PRIVATE 3RD PARTY IN KIND MATCH</v>
      </c>
      <c r="C31" s="13"/>
      <c r="D31" s="13">
        <f>TIMESTUDYSUMM[[#This Row],[All Hours]]</f>
        <v>0</v>
      </c>
      <c r="E31" s="14">
        <f>TIMESTUDYSUMM[[#This Row],[Allocable Hours]]/TIMESTUDYSUMM[[#Totals],[Allocable Hours]]</f>
        <v>0</v>
      </c>
    </row>
    <row r="32" spans="1:5" x14ac:dyDescent="0.25">
      <c r="A32" s="11" t="s">
        <v>129</v>
      </c>
      <c r="B32" s="11" t="str">
        <f>_xlfn.XLOOKUP(TIMESTUDYSUMM[[#This Row],[CECRIS PIN]],CECPINDATA[CECRIS PIN],CECPINDATA[Program Name])</f>
        <v>PROB FAM FIND TRAINING DIR EXPEND OR PUBLIC 3RD PARTY IN KIND MATCH</v>
      </c>
      <c r="C32" s="13"/>
      <c r="D32" s="13">
        <f>TIMESTUDYSUMM[[#This Row],[All Hours]]</f>
        <v>0</v>
      </c>
      <c r="E32" s="14">
        <f>TIMESTUDYSUMM[[#This Row],[Allocable Hours]]/TIMESTUDYSUMM[[#Totals],[Allocable Hours]]</f>
        <v>0</v>
      </c>
    </row>
    <row r="33" spans="1:5" x14ac:dyDescent="0.25">
      <c r="A33" s="11" t="s">
        <v>130</v>
      </c>
      <c r="B33" s="11" t="str">
        <f>_xlfn.XLOOKUP(TIMESTUDYSUMM[[#This Row],[CECRIS PIN]],CECPINDATA[CECRIS PIN],CECPINDATA[Program Name])</f>
        <v>PROB FAM FIND TRAINING INTERNAL PROB OR PRIVATE 3RD PARTY IN KIND MATCH</v>
      </c>
      <c r="C33" s="13"/>
      <c r="D33" s="13">
        <f>TIMESTUDYSUMM[[#This Row],[All Hours]]</f>
        <v>0</v>
      </c>
      <c r="E33" s="14">
        <f>TIMESTUDYSUMM[[#This Row],[Allocable Hours]]/TIMESTUDYSUMM[[#Totals],[Allocable Hours]]</f>
        <v>0</v>
      </c>
    </row>
    <row r="34" spans="1:5" x14ac:dyDescent="0.25">
      <c r="A34" s="11" t="s">
        <v>61</v>
      </c>
      <c r="B34" s="11" t="str">
        <f>_xlfn.XLOOKUP(TIMESTUDYSUMM[[#This Row],[CECRIS PIN]],CECPINDATA[CECRIS PIN],CECPINDATA[Program Name])</f>
        <v>GENERIC</v>
      </c>
      <c r="C34" s="13">
        <v>45</v>
      </c>
      <c r="D34" s="146">
        <v>0</v>
      </c>
      <c r="E34" s="14">
        <f>TIMESTUDYSUMM[[#This Row],[Allocable Hours]]/TIMESTUDYSUMM[[#Totals],[Allocable Hours]]</f>
        <v>0</v>
      </c>
    </row>
    <row r="35" spans="1:5" x14ac:dyDescent="0.25">
      <c r="A35" s="11" t="s">
        <v>158</v>
      </c>
      <c r="B35" s="11" t="str">
        <f>_xlfn.XLOOKUP(TIMESTUDYSUMM[[#This Row],[CECRIS PIN]],CECPINDATA[CECRIS PIN],CECPINDATA[Program Name])</f>
        <v>Non Allocable</v>
      </c>
      <c r="C35" s="13">
        <v>78</v>
      </c>
      <c r="D35" s="146">
        <v>0</v>
      </c>
      <c r="E35" s="14">
        <f>TIMESTUDYSUMM[[#This Row],[Allocable Hours]]/TIMESTUDYSUMM[[#Totals],[Allocable Hours]]</f>
        <v>0</v>
      </c>
    </row>
    <row r="36" spans="1:5" x14ac:dyDescent="0.25">
      <c r="A36" s="11" t="s">
        <v>62</v>
      </c>
      <c r="B36" s="11" t="str">
        <f>_xlfn.XLOOKUP(TIMESTUDYSUMM[[#This Row],[CECRIS PIN]],CECPINDATA[CECRIS PIN],CECPINDATA[Program Name])</f>
        <v>PROB ONLY</v>
      </c>
      <c r="C36" s="13">
        <v>1250</v>
      </c>
      <c r="D36" s="13">
        <f>TIMESTUDYSUMM[[#This Row],[All Hours]]</f>
        <v>1250</v>
      </c>
      <c r="E36" s="14">
        <f>TIMESTUDYSUMM[[#This Row],[Allocable Hours]]/TIMESTUDYSUMM[[#Totals],[Allocable Hours]]</f>
        <v>0.8282259400364419</v>
      </c>
    </row>
    <row r="37" spans="1:5" x14ac:dyDescent="0.25">
      <c r="A37" s="11" t="s">
        <v>66</v>
      </c>
      <c r="C37" s="15">
        <f>SUBTOTAL(109,TIMESTUDYSUMM[All Hours])</f>
        <v>1632.25</v>
      </c>
      <c r="D37" s="15">
        <f>SUBTOTAL(109,TIMESTUDYSUMM[Allocable Hours])</f>
        <v>1509.25</v>
      </c>
      <c r="E37" s="16">
        <f>SUBTOTAL(109,TIMESTUDYSUMM[Allocable Hours %])</f>
        <v>1</v>
      </c>
    </row>
  </sheetData>
  <mergeCells count="2">
    <mergeCell ref="A2:E2"/>
    <mergeCell ref="A1:E1"/>
  </mergeCells>
  <phoneticPr fontId="3" type="noConversion"/>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31C3-0533-411B-A9CB-30FA8D9D58D0}">
  <sheetPr>
    <tabColor theme="5" tint="0.79998168889431442"/>
  </sheetPr>
  <dimension ref="A1:I48"/>
  <sheetViews>
    <sheetView showZeros="0" zoomScale="90" zoomScaleNormal="90" workbookViewId="0">
      <selection activeCell="B29" sqref="B29"/>
    </sheetView>
  </sheetViews>
  <sheetFormatPr defaultColWidth="9.140625" defaultRowHeight="15" x14ac:dyDescent="0.25"/>
  <cols>
    <col min="1" max="1" width="15.85546875" style="18" customWidth="1"/>
    <col min="2" max="2" width="54.5703125" style="30" customWidth="1"/>
    <col min="3" max="8" width="13.7109375" style="18" customWidth="1"/>
    <col min="9" max="9" width="20.5703125" style="143" customWidth="1"/>
    <col min="10" max="16384" width="9.140625" style="18"/>
  </cols>
  <sheetData>
    <row r="1" spans="1:9" x14ac:dyDescent="0.25">
      <c r="C1" s="141" t="s">
        <v>164</v>
      </c>
      <c r="D1" s="141"/>
      <c r="E1" s="141"/>
      <c r="F1" s="142" t="s">
        <v>204</v>
      </c>
      <c r="G1" s="142"/>
      <c r="H1" s="142"/>
    </row>
    <row r="2" spans="1:9" x14ac:dyDescent="0.25">
      <c r="C2" s="141"/>
      <c r="D2" s="141"/>
      <c r="E2" s="141"/>
      <c r="F2" s="142"/>
      <c r="G2" s="142"/>
      <c r="H2" s="142"/>
    </row>
    <row r="3" spans="1:9" s="17" customFormat="1" ht="31.5" x14ac:dyDescent="0.25">
      <c r="A3" s="25" t="s">
        <v>63</v>
      </c>
      <c r="B3" s="25" t="s">
        <v>0</v>
      </c>
      <c r="C3" s="25" t="s">
        <v>157</v>
      </c>
      <c r="D3" s="25" t="s">
        <v>90</v>
      </c>
      <c r="E3" s="25" t="s">
        <v>91</v>
      </c>
      <c r="F3" s="25" t="s">
        <v>1</v>
      </c>
      <c r="G3" s="25" t="s">
        <v>2</v>
      </c>
      <c r="H3" s="25" t="s">
        <v>92</v>
      </c>
      <c r="I3" s="145" t="s">
        <v>217</v>
      </c>
    </row>
    <row r="4" spans="1:9" ht="31.5" x14ac:dyDescent="0.25">
      <c r="A4" s="24" t="s">
        <v>161</v>
      </c>
      <c r="B4" s="23" t="s">
        <v>162</v>
      </c>
      <c r="C4" s="26" t="s">
        <v>6</v>
      </c>
      <c r="D4" s="26" t="s">
        <v>148</v>
      </c>
      <c r="E4" s="27" t="s">
        <v>163</v>
      </c>
      <c r="F4" s="71">
        <v>0.5</v>
      </c>
      <c r="G4" s="71">
        <v>0.35</v>
      </c>
      <c r="H4" s="71">
        <v>0.15</v>
      </c>
      <c r="I4" s="144" t="s">
        <v>207</v>
      </c>
    </row>
    <row r="5" spans="1:9" ht="15.75" x14ac:dyDescent="0.25">
      <c r="A5" s="22" t="s">
        <v>115</v>
      </c>
      <c r="B5" s="23" t="s">
        <v>116</v>
      </c>
      <c r="C5" s="26" t="s">
        <v>6</v>
      </c>
      <c r="D5" s="26" t="s">
        <v>148</v>
      </c>
      <c r="E5" s="26" t="s">
        <v>148</v>
      </c>
      <c r="F5" s="71">
        <v>0.5</v>
      </c>
      <c r="G5" s="71">
        <v>0</v>
      </c>
      <c r="H5" s="71">
        <v>0.5</v>
      </c>
      <c r="I5" s="144" t="s">
        <v>208</v>
      </c>
    </row>
    <row r="6" spans="1:9" ht="31.5" x14ac:dyDescent="0.25">
      <c r="A6" s="22" t="s">
        <v>27</v>
      </c>
      <c r="B6" s="23" t="s">
        <v>28</v>
      </c>
      <c r="C6" s="26" t="s">
        <v>6</v>
      </c>
      <c r="D6" s="26" t="s">
        <v>148</v>
      </c>
      <c r="E6" s="26" t="s">
        <v>148</v>
      </c>
      <c r="F6" s="71">
        <v>0.5</v>
      </c>
      <c r="G6" s="71">
        <v>0</v>
      </c>
      <c r="H6" s="71">
        <v>0.5</v>
      </c>
      <c r="I6" s="144" t="s">
        <v>219</v>
      </c>
    </row>
    <row r="7" spans="1:9" ht="47.25" x14ac:dyDescent="0.25">
      <c r="A7" s="22" t="s">
        <v>29</v>
      </c>
      <c r="B7" s="23" t="s">
        <v>30</v>
      </c>
      <c r="C7" s="26" t="s">
        <v>6</v>
      </c>
      <c r="D7" s="27" t="s">
        <v>148</v>
      </c>
      <c r="E7" s="27" t="s">
        <v>148</v>
      </c>
      <c r="F7" s="71">
        <v>0.5</v>
      </c>
      <c r="G7" s="71">
        <v>0</v>
      </c>
      <c r="H7" s="71">
        <v>0.5</v>
      </c>
      <c r="I7" s="144" t="s">
        <v>220</v>
      </c>
    </row>
    <row r="8" spans="1:9" ht="47.25" x14ac:dyDescent="0.25">
      <c r="A8" s="22" t="s">
        <v>31</v>
      </c>
      <c r="B8" s="23" t="s">
        <v>32</v>
      </c>
      <c r="C8" s="28" t="s">
        <v>6</v>
      </c>
      <c r="D8" s="27" t="s">
        <v>148</v>
      </c>
      <c r="E8" s="27" t="s">
        <v>148</v>
      </c>
      <c r="F8" s="71">
        <v>0.75</v>
      </c>
      <c r="G8" s="71">
        <v>0</v>
      </c>
      <c r="H8" s="71">
        <v>0.25</v>
      </c>
      <c r="I8" s="144" t="s">
        <v>220</v>
      </c>
    </row>
    <row r="9" spans="1:9" ht="15.75" x14ac:dyDescent="0.25">
      <c r="A9" s="22" t="s">
        <v>33</v>
      </c>
      <c r="B9" s="23" t="s">
        <v>34</v>
      </c>
      <c r="C9" s="28" t="s">
        <v>5</v>
      </c>
      <c r="D9" s="27" t="s">
        <v>148</v>
      </c>
      <c r="E9" s="27" t="s">
        <v>148</v>
      </c>
      <c r="F9" s="71">
        <v>0.75</v>
      </c>
      <c r="G9" s="71">
        <v>0.125</v>
      </c>
      <c r="H9" s="71">
        <v>0.125</v>
      </c>
      <c r="I9" s="144">
        <v>0</v>
      </c>
    </row>
    <row r="10" spans="1:9" ht="31.5" x14ac:dyDescent="0.25">
      <c r="A10" s="22" t="s">
        <v>117</v>
      </c>
      <c r="B10" s="23" t="s">
        <v>118</v>
      </c>
      <c r="C10" s="28" t="s">
        <v>6</v>
      </c>
      <c r="D10" s="27" t="s">
        <v>148</v>
      </c>
      <c r="E10" s="27" t="s">
        <v>148</v>
      </c>
      <c r="F10" s="71">
        <v>0.5</v>
      </c>
      <c r="G10" s="71">
        <v>0.5</v>
      </c>
      <c r="H10" s="71">
        <v>0</v>
      </c>
      <c r="I10" s="144" t="s">
        <v>212</v>
      </c>
    </row>
    <row r="11" spans="1:9" ht="15.75" x14ac:dyDescent="0.25">
      <c r="A11" s="22" t="s">
        <v>119</v>
      </c>
      <c r="B11" s="23" t="s">
        <v>120</v>
      </c>
      <c r="C11" s="28" t="s">
        <v>5</v>
      </c>
      <c r="D11" s="27" t="s">
        <v>148</v>
      </c>
      <c r="E11" s="27" t="s">
        <v>148</v>
      </c>
      <c r="F11" s="71">
        <v>0</v>
      </c>
      <c r="G11" s="71">
        <v>1</v>
      </c>
      <c r="H11" s="71">
        <v>0</v>
      </c>
      <c r="I11" s="144">
        <v>0</v>
      </c>
    </row>
    <row r="12" spans="1:9" ht="47.25" x14ac:dyDescent="0.25">
      <c r="A12" s="22" t="s">
        <v>35</v>
      </c>
      <c r="B12" s="23" t="s">
        <v>36</v>
      </c>
      <c r="C12" s="28" t="s">
        <v>6</v>
      </c>
      <c r="D12" s="27" t="s">
        <v>148</v>
      </c>
      <c r="E12" s="27" t="s">
        <v>37</v>
      </c>
      <c r="F12" s="71">
        <v>0.5</v>
      </c>
      <c r="G12" s="71">
        <v>0.5</v>
      </c>
      <c r="H12" s="71">
        <v>0</v>
      </c>
      <c r="I12" s="144" t="s">
        <v>221</v>
      </c>
    </row>
    <row r="13" spans="1:9" ht="15.75" x14ac:dyDescent="0.25">
      <c r="A13" s="22" t="s">
        <v>37</v>
      </c>
      <c r="B13" s="23" t="s">
        <v>38</v>
      </c>
      <c r="C13" s="28" t="s">
        <v>5</v>
      </c>
      <c r="D13" s="27" t="s">
        <v>35</v>
      </c>
      <c r="E13" s="27" t="s">
        <v>148</v>
      </c>
      <c r="F13" s="71">
        <v>0</v>
      </c>
      <c r="G13" s="71">
        <v>1</v>
      </c>
      <c r="H13" s="71">
        <v>0</v>
      </c>
      <c r="I13" s="144" t="s">
        <v>218</v>
      </c>
    </row>
    <row r="14" spans="1:9" ht="47.25" x14ac:dyDescent="0.25">
      <c r="A14" s="22" t="s">
        <v>39</v>
      </c>
      <c r="B14" s="23" t="s">
        <v>40</v>
      </c>
      <c r="C14" s="28" t="s">
        <v>5</v>
      </c>
      <c r="D14" s="27" t="s">
        <v>41</v>
      </c>
      <c r="E14" s="27" t="s">
        <v>148</v>
      </c>
      <c r="F14" s="71">
        <v>0</v>
      </c>
      <c r="G14" s="71">
        <v>1</v>
      </c>
      <c r="H14" s="71">
        <v>0</v>
      </c>
      <c r="I14" s="144" t="s">
        <v>222</v>
      </c>
    </row>
    <row r="15" spans="1:9" ht="15.75" x14ac:dyDescent="0.25">
      <c r="A15" s="22" t="s">
        <v>3</v>
      </c>
      <c r="B15" s="23" t="s">
        <v>4</v>
      </c>
      <c r="C15" s="28" t="s">
        <v>5</v>
      </c>
      <c r="D15" s="27" t="s">
        <v>148</v>
      </c>
      <c r="E15" s="27" t="s">
        <v>148</v>
      </c>
      <c r="F15" s="71">
        <v>0</v>
      </c>
      <c r="G15" s="71">
        <v>0.5</v>
      </c>
      <c r="H15" s="71">
        <v>0.5</v>
      </c>
      <c r="I15" s="144">
        <v>0</v>
      </c>
    </row>
    <row r="16" spans="1:9" ht="47.25" x14ac:dyDescent="0.25">
      <c r="A16" s="22" t="s">
        <v>41</v>
      </c>
      <c r="B16" s="23" t="s">
        <v>42</v>
      </c>
      <c r="C16" s="28" t="s">
        <v>6</v>
      </c>
      <c r="D16" s="27" t="s">
        <v>148</v>
      </c>
      <c r="E16" s="27" t="s">
        <v>39</v>
      </c>
      <c r="F16" s="71">
        <v>0.5</v>
      </c>
      <c r="G16" s="71">
        <v>0.5</v>
      </c>
      <c r="H16" s="71">
        <v>0</v>
      </c>
      <c r="I16" s="144" t="s">
        <v>222</v>
      </c>
    </row>
    <row r="17" spans="1:9" ht="15.75" x14ac:dyDescent="0.25">
      <c r="A17" s="22" t="s">
        <v>121</v>
      </c>
      <c r="B17" s="23" t="s">
        <v>122</v>
      </c>
      <c r="C17" s="28" t="s">
        <v>6</v>
      </c>
      <c r="D17" s="27" t="s">
        <v>148</v>
      </c>
      <c r="E17" s="27" t="s">
        <v>148</v>
      </c>
      <c r="F17" s="71">
        <v>0.5</v>
      </c>
      <c r="G17" s="71">
        <v>0</v>
      </c>
      <c r="H17" s="71">
        <v>0.5</v>
      </c>
      <c r="I17" s="144" t="s">
        <v>209</v>
      </c>
    </row>
    <row r="18" spans="1:9" ht="47.25" x14ac:dyDescent="0.25">
      <c r="A18" s="22" t="s">
        <v>43</v>
      </c>
      <c r="B18" s="23" t="s">
        <v>44</v>
      </c>
      <c r="C18" s="28" t="s">
        <v>6</v>
      </c>
      <c r="D18" s="27" t="s">
        <v>148</v>
      </c>
      <c r="E18" s="27" t="s">
        <v>148</v>
      </c>
      <c r="F18" s="71">
        <v>0.5</v>
      </c>
      <c r="G18" s="71">
        <v>0</v>
      </c>
      <c r="H18" s="71">
        <v>0.5</v>
      </c>
      <c r="I18" s="144" t="s">
        <v>223</v>
      </c>
    </row>
    <row r="19" spans="1:9" ht="15.75" x14ac:dyDescent="0.25">
      <c r="A19" s="22" t="s">
        <v>45</v>
      </c>
      <c r="B19" s="23" t="s">
        <v>46</v>
      </c>
      <c r="C19" s="28" t="s">
        <v>6</v>
      </c>
      <c r="D19" s="27" t="s">
        <v>148</v>
      </c>
      <c r="E19" s="27" t="s">
        <v>148</v>
      </c>
      <c r="F19" s="71">
        <v>0.75</v>
      </c>
      <c r="G19" s="71">
        <v>0</v>
      </c>
      <c r="H19" s="71">
        <v>0.25</v>
      </c>
      <c r="I19" s="144">
        <v>0</v>
      </c>
    </row>
    <row r="20" spans="1:9" ht="15.75" x14ac:dyDescent="0.25">
      <c r="A20" s="22" t="s">
        <v>123</v>
      </c>
      <c r="B20" s="23" t="s">
        <v>124</v>
      </c>
      <c r="C20" s="28" t="s">
        <v>6</v>
      </c>
      <c r="D20" s="27" t="s">
        <v>148</v>
      </c>
      <c r="E20" s="27" t="s">
        <v>148</v>
      </c>
      <c r="F20" s="71">
        <v>0.5</v>
      </c>
      <c r="G20" s="71">
        <v>0</v>
      </c>
      <c r="H20" s="71">
        <v>0.5</v>
      </c>
      <c r="I20" s="144" t="s">
        <v>209</v>
      </c>
    </row>
    <row r="21" spans="1:9" ht="15.75" x14ac:dyDescent="0.25">
      <c r="A21" s="22" t="s">
        <v>7</v>
      </c>
      <c r="B21" s="23" t="s">
        <v>8</v>
      </c>
      <c r="C21" s="28" t="s">
        <v>6</v>
      </c>
      <c r="D21" s="27" t="s">
        <v>148</v>
      </c>
      <c r="E21" s="27" t="s">
        <v>9</v>
      </c>
      <c r="F21" s="71">
        <v>0.5</v>
      </c>
      <c r="G21" s="71">
        <v>0.25</v>
      </c>
      <c r="H21" s="71">
        <v>0.25</v>
      </c>
      <c r="I21" s="144">
        <v>0</v>
      </c>
    </row>
    <row r="22" spans="1:9" ht="15.75" x14ac:dyDescent="0.25">
      <c r="A22" s="22" t="s">
        <v>10</v>
      </c>
      <c r="B22" s="23" t="s">
        <v>11</v>
      </c>
      <c r="C22" s="28" t="s">
        <v>6</v>
      </c>
      <c r="D22" s="27" t="s">
        <v>148</v>
      </c>
      <c r="E22" s="27" t="s">
        <v>12</v>
      </c>
      <c r="F22" s="71">
        <v>0.5</v>
      </c>
      <c r="G22" s="71">
        <v>0.5</v>
      </c>
      <c r="H22" s="71">
        <v>0</v>
      </c>
      <c r="I22" s="144" t="s">
        <v>213</v>
      </c>
    </row>
    <row r="23" spans="1:9" ht="15.75" x14ac:dyDescent="0.25">
      <c r="A23" s="22" t="s">
        <v>12</v>
      </c>
      <c r="B23" s="23" t="s">
        <v>13</v>
      </c>
      <c r="C23" s="28" t="s">
        <v>5</v>
      </c>
      <c r="D23" s="27" t="s">
        <v>10</v>
      </c>
      <c r="E23" s="27" t="s">
        <v>148</v>
      </c>
      <c r="F23" s="71">
        <v>0</v>
      </c>
      <c r="G23" s="71">
        <v>1</v>
      </c>
      <c r="H23" s="71">
        <v>0</v>
      </c>
      <c r="I23" s="144">
        <v>0</v>
      </c>
    </row>
    <row r="24" spans="1:9" ht="15.75" x14ac:dyDescent="0.25">
      <c r="A24" s="22" t="s">
        <v>14</v>
      </c>
      <c r="B24" s="23" t="s">
        <v>15</v>
      </c>
      <c r="C24" s="28" t="s">
        <v>6</v>
      </c>
      <c r="D24" s="27" t="s">
        <v>148</v>
      </c>
      <c r="E24" s="27" t="s">
        <v>16</v>
      </c>
      <c r="F24" s="71">
        <v>0.5</v>
      </c>
      <c r="G24" s="71">
        <v>0.25</v>
      </c>
      <c r="H24" s="71">
        <v>0.25</v>
      </c>
      <c r="I24" s="144" t="s">
        <v>214</v>
      </c>
    </row>
    <row r="25" spans="1:9" ht="15.75" x14ac:dyDescent="0.25">
      <c r="A25" s="22" t="s">
        <v>9</v>
      </c>
      <c r="B25" s="23" t="s">
        <v>17</v>
      </c>
      <c r="C25" s="28" t="s">
        <v>5</v>
      </c>
      <c r="D25" s="27" t="s">
        <v>7</v>
      </c>
      <c r="E25" s="27" t="s">
        <v>148</v>
      </c>
      <c r="F25" s="71">
        <v>0</v>
      </c>
      <c r="G25" s="71">
        <v>0.5</v>
      </c>
      <c r="H25" s="71">
        <v>0.5</v>
      </c>
      <c r="I25" s="144">
        <v>0</v>
      </c>
    </row>
    <row r="26" spans="1:9" ht="15.75" x14ac:dyDescent="0.25">
      <c r="A26" s="22" t="s">
        <v>47</v>
      </c>
      <c r="B26" s="23" t="s">
        <v>48</v>
      </c>
      <c r="C26" s="28" t="s">
        <v>5</v>
      </c>
      <c r="D26" s="27" t="s">
        <v>148</v>
      </c>
      <c r="E26" s="27" t="s">
        <v>148</v>
      </c>
      <c r="F26" s="71">
        <v>0.5</v>
      </c>
      <c r="G26" s="71">
        <v>0.25</v>
      </c>
      <c r="H26" s="71">
        <v>0.25</v>
      </c>
      <c r="I26" s="144">
        <v>0</v>
      </c>
    </row>
    <row r="27" spans="1:9" ht="15.75" x14ac:dyDescent="0.25">
      <c r="A27" s="22" t="s">
        <v>16</v>
      </c>
      <c r="B27" s="23" t="s">
        <v>18</v>
      </c>
      <c r="C27" s="28" t="s">
        <v>5</v>
      </c>
      <c r="D27" s="27" t="s">
        <v>14</v>
      </c>
      <c r="E27" s="27" t="s">
        <v>148</v>
      </c>
      <c r="F27" s="71">
        <v>0</v>
      </c>
      <c r="G27" s="71">
        <v>0.5</v>
      </c>
      <c r="H27" s="71">
        <v>0.5</v>
      </c>
      <c r="I27" s="144">
        <v>0</v>
      </c>
    </row>
    <row r="28" spans="1:9" ht="15.75" x14ac:dyDescent="0.25">
      <c r="A28" s="22" t="s">
        <v>19</v>
      </c>
      <c r="B28" s="23" t="s">
        <v>20</v>
      </c>
      <c r="C28" s="28" t="s">
        <v>6</v>
      </c>
      <c r="D28" s="27" t="s">
        <v>148</v>
      </c>
      <c r="E28" s="27" t="s">
        <v>21</v>
      </c>
      <c r="F28" s="71">
        <v>0.5</v>
      </c>
      <c r="G28" s="71">
        <v>0.5</v>
      </c>
      <c r="H28" s="71">
        <v>0</v>
      </c>
      <c r="I28" s="144" t="s">
        <v>215</v>
      </c>
    </row>
    <row r="29" spans="1:9" ht="15.75" x14ac:dyDescent="0.25">
      <c r="A29" s="22" t="s">
        <v>21</v>
      </c>
      <c r="B29" s="23" t="s">
        <v>22</v>
      </c>
      <c r="C29" s="28" t="s">
        <v>5</v>
      </c>
      <c r="D29" s="27" t="s">
        <v>19</v>
      </c>
      <c r="E29" s="27" t="s">
        <v>148</v>
      </c>
      <c r="F29" s="71">
        <v>0</v>
      </c>
      <c r="G29" s="71">
        <v>1</v>
      </c>
      <c r="H29" s="71">
        <v>0</v>
      </c>
      <c r="I29" s="144">
        <v>0</v>
      </c>
    </row>
    <row r="30" spans="1:9" ht="15.75" x14ac:dyDescent="0.25">
      <c r="A30" s="22" t="s">
        <v>49</v>
      </c>
      <c r="B30" s="23" t="s">
        <v>50</v>
      </c>
      <c r="C30" s="28" t="s">
        <v>5</v>
      </c>
      <c r="D30" s="27" t="s">
        <v>148</v>
      </c>
      <c r="E30" s="27" t="s">
        <v>148</v>
      </c>
      <c r="F30" s="71">
        <v>0.5</v>
      </c>
      <c r="G30" s="71">
        <v>0.25</v>
      </c>
      <c r="H30" s="71">
        <v>0.25</v>
      </c>
      <c r="I30" s="144">
        <v>0</v>
      </c>
    </row>
    <row r="31" spans="1:9" ht="15.75" x14ac:dyDescent="0.25">
      <c r="A31" s="22" t="s">
        <v>23</v>
      </c>
      <c r="B31" s="23" t="s">
        <v>24</v>
      </c>
      <c r="C31" s="28" t="s">
        <v>5</v>
      </c>
      <c r="D31" s="27" t="s">
        <v>148</v>
      </c>
      <c r="E31" s="27" t="s">
        <v>23</v>
      </c>
      <c r="F31" s="71">
        <v>0</v>
      </c>
      <c r="G31" s="71">
        <v>1</v>
      </c>
      <c r="H31" s="71">
        <v>0</v>
      </c>
      <c r="I31" s="144">
        <v>0</v>
      </c>
    </row>
    <row r="32" spans="1:9" ht="15.75" x14ac:dyDescent="0.25">
      <c r="A32" s="22" t="s">
        <v>155</v>
      </c>
      <c r="B32" s="23" t="s">
        <v>25</v>
      </c>
      <c r="C32" s="28" t="s">
        <v>6</v>
      </c>
      <c r="D32" s="27" t="s">
        <v>148</v>
      </c>
      <c r="E32" s="27" t="s">
        <v>156</v>
      </c>
      <c r="F32" s="71">
        <v>0.5</v>
      </c>
      <c r="G32" s="71">
        <v>0.5</v>
      </c>
      <c r="H32" s="71">
        <v>0</v>
      </c>
      <c r="I32" s="144" t="s">
        <v>216</v>
      </c>
    </row>
    <row r="33" spans="1:9" ht="15.75" x14ac:dyDescent="0.25">
      <c r="A33" s="22" t="s">
        <v>156</v>
      </c>
      <c r="B33" s="23" t="s">
        <v>26</v>
      </c>
      <c r="C33" s="28" t="s">
        <v>5</v>
      </c>
      <c r="D33" s="27">
        <v>10020059</v>
      </c>
      <c r="E33" s="27" t="s">
        <v>148</v>
      </c>
      <c r="F33" s="71">
        <v>0</v>
      </c>
      <c r="G33" s="71">
        <v>1</v>
      </c>
      <c r="H33" s="71">
        <v>0</v>
      </c>
      <c r="I33" s="144">
        <v>0</v>
      </c>
    </row>
    <row r="34" spans="1:9" ht="15.75" x14ac:dyDescent="0.25">
      <c r="A34" s="22" t="s">
        <v>51</v>
      </c>
      <c r="B34" s="23" t="s">
        <v>52</v>
      </c>
      <c r="C34" s="28" t="s">
        <v>5</v>
      </c>
      <c r="D34" s="27" t="s">
        <v>148</v>
      </c>
      <c r="E34" s="27" t="s">
        <v>148</v>
      </c>
      <c r="F34" s="71">
        <v>0.5</v>
      </c>
      <c r="G34" s="71">
        <v>0.5</v>
      </c>
      <c r="H34" s="71">
        <v>0</v>
      </c>
      <c r="I34" s="144">
        <v>0</v>
      </c>
    </row>
    <row r="35" spans="1:9" ht="15.75" x14ac:dyDescent="0.25">
      <c r="A35" s="22" t="s">
        <v>53</v>
      </c>
      <c r="B35" s="23" t="s">
        <v>54</v>
      </c>
      <c r="C35" s="28" t="s">
        <v>5</v>
      </c>
      <c r="D35" s="27" t="s">
        <v>148</v>
      </c>
      <c r="E35" s="27" t="s">
        <v>148</v>
      </c>
      <c r="F35" s="71">
        <v>0.5</v>
      </c>
      <c r="G35" s="71">
        <v>0.5</v>
      </c>
      <c r="H35" s="71">
        <v>0</v>
      </c>
      <c r="I35" s="144">
        <v>0</v>
      </c>
    </row>
    <row r="36" spans="1:9" ht="15.75" x14ac:dyDescent="0.25">
      <c r="A36" s="22" t="s">
        <v>55</v>
      </c>
      <c r="B36" s="23" t="s">
        <v>56</v>
      </c>
      <c r="C36" s="28" t="s">
        <v>5</v>
      </c>
      <c r="D36" s="27" t="s">
        <v>148</v>
      </c>
      <c r="E36" s="27" t="s">
        <v>148</v>
      </c>
      <c r="F36" s="71">
        <v>0</v>
      </c>
      <c r="G36" s="71">
        <v>1</v>
      </c>
      <c r="H36" s="71">
        <v>0</v>
      </c>
      <c r="I36" s="144">
        <v>0</v>
      </c>
    </row>
    <row r="37" spans="1:9" ht="15.75" x14ac:dyDescent="0.25">
      <c r="A37" s="22" t="s">
        <v>57</v>
      </c>
      <c r="B37" s="23" t="s">
        <v>58</v>
      </c>
      <c r="C37" s="28" t="s">
        <v>5</v>
      </c>
      <c r="D37" s="27" t="s">
        <v>148</v>
      </c>
      <c r="E37" s="27" t="s">
        <v>148</v>
      </c>
      <c r="F37" s="71">
        <v>0</v>
      </c>
      <c r="G37" s="71">
        <v>1</v>
      </c>
      <c r="H37" s="71">
        <v>0</v>
      </c>
      <c r="I37" s="144">
        <v>0</v>
      </c>
    </row>
    <row r="38" spans="1:9" ht="15.75" x14ac:dyDescent="0.25">
      <c r="A38" s="22" t="s">
        <v>59</v>
      </c>
      <c r="B38" s="23" t="s">
        <v>60</v>
      </c>
      <c r="C38" s="28" t="s">
        <v>5</v>
      </c>
      <c r="D38" s="27" t="s">
        <v>148</v>
      </c>
      <c r="E38" s="27" t="s">
        <v>148</v>
      </c>
      <c r="F38" s="71">
        <v>0</v>
      </c>
      <c r="G38" s="71">
        <v>1</v>
      </c>
      <c r="H38" s="71">
        <v>0</v>
      </c>
      <c r="I38" s="144">
        <v>0</v>
      </c>
    </row>
    <row r="39" spans="1:9" ht="15.75" x14ac:dyDescent="0.25">
      <c r="A39" s="22" t="s">
        <v>125</v>
      </c>
      <c r="B39" s="23" t="s">
        <v>149</v>
      </c>
      <c r="C39" s="26" t="s">
        <v>6</v>
      </c>
      <c r="D39" s="26" t="s">
        <v>148</v>
      </c>
      <c r="E39" s="26" t="s">
        <v>126</v>
      </c>
      <c r="F39" s="71">
        <v>0.5</v>
      </c>
      <c r="G39" s="71">
        <v>0.34</v>
      </c>
      <c r="H39" s="71">
        <v>0.16</v>
      </c>
      <c r="I39" s="144" t="s">
        <v>210</v>
      </c>
    </row>
    <row r="40" spans="1:9" ht="15.75" x14ac:dyDescent="0.25">
      <c r="A40" s="22" t="s">
        <v>127</v>
      </c>
      <c r="B40" s="23" t="s">
        <v>150</v>
      </c>
      <c r="C40" s="26" t="s">
        <v>6</v>
      </c>
      <c r="D40" s="26" t="s">
        <v>148</v>
      </c>
      <c r="E40" s="26" t="s">
        <v>128</v>
      </c>
      <c r="F40" s="71">
        <v>0.5</v>
      </c>
      <c r="G40" s="71">
        <v>0.5</v>
      </c>
      <c r="H40" s="71">
        <v>0</v>
      </c>
      <c r="I40" s="144" t="s">
        <v>210</v>
      </c>
    </row>
    <row r="41" spans="1:9" ht="15.75" x14ac:dyDescent="0.25">
      <c r="A41" s="24" t="s">
        <v>126</v>
      </c>
      <c r="B41" s="23" t="s">
        <v>151</v>
      </c>
      <c r="C41" s="26" t="s">
        <v>5</v>
      </c>
      <c r="D41" s="26" t="s">
        <v>125</v>
      </c>
      <c r="E41" s="26" t="s">
        <v>148</v>
      </c>
      <c r="F41" s="71">
        <v>0</v>
      </c>
      <c r="G41" s="71">
        <v>0.66</v>
      </c>
      <c r="H41" s="71">
        <v>0.34</v>
      </c>
      <c r="I41" s="144" t="s">
        <v>210</v>
      </c>
    </row>
    <row r="42" spans="1:9" ht="15.75" x14ac:dyDescent="0.25">
      <c r="A42" s="22" t="s">
        <v>128</v>
      </c>
      <c r="B42" s="23" t="s">
        <v>152</v>
      </c>
      <c r="C42" s="26" t="s">
        <v>5</v>
      </c>
      <c r="D42" s="26" t="s">
        <v>127</v>
      </c>
      <c r="E42" s="26" t="s">
        <v>148</v>
      </c>
      <c r="F42" s="71">
        <v>0</v>
      </c>
      <c r="G42" s="71">
        <v>1</v>
      </c>
      <c r="H42" s="71">
        <v>0</v>
      </c>
      <c r="I42" s="144" t="s">
        <v>210</v>
      </c>
    </row>
    <row r="43" spans="1:9" ht="15.75" x14ac:dyDescent="0.25">
      <c r="A43" s="22" t="s">
        <v>129</v>
      </c>
      <c r="B43" s="23" t="s">
        <v>153</v>
      </c>
      <c r="C43" s="26" t="s">
        <v>6</v>
      </c>
      <c r="D43" s="26" t="s">
        <v>148</v>
      </c>
      <c r="E43" s="26" t="s">
        <v>148</v>
      </c>
      <c r="F43" s="71">
        <v>0.75</v>
      </c>
      <c r="G43" s="71">
        <v>0.17</v>
      </c>
      <c r="H43" s="71">
        <v>0.18</v>
      </c>
      <c r="I43" s="144" t="s">
        <v>210</v>
      </c>
    </row>
    <row r="44" spans="1:9" ht="15.75" x14ac:dyDescent="0.25">
      <c r="A44" s="22" t="s">
        <v>130</v>
      </c>
      <c r="B44" s="23" t="s">
        <v>154</v>
      </c>
      <c r="C44" s="26" t="s">
        <v>6</v>
      </c>
      <c r="D44" s="26" t="s">
        <v>148</v>
      </c>
      <c r="E44" s="26" t="s">
        <v>148</v>
      </c>
      <c r="F44" s="71">
        <v>0.75</v>
      </c>
      <c r="G44" s="71">
        <v>0.25</v>
      </c>
      <c r="H44" s="71">
        <v>0</v>
      </c>
      <c r="I44" s="144" t="s">
        <v>211</v>
      </c>
    </row>
    <row r="45" spans="1:9" ht="15.75" x14ac:dyDescent="0.25">
      <c r="A45" s="24" t="s">
        <v>61</v>
      </c>
      <c r="B45" s="24" t="s">
        <v>61</v>
      </c>
      <c r="C45" s="26" t="s">
        <v>5</v>
      </c>
      <c r="D45" s="26"/>
      <c r="E45" s="26"/>
      <c r="F45" s="71"/>
      <c r="G45" s="71"/>
      <c r="H45" s="71">
        <v>1</v>
      </c>
      <c r="I45" s="144" t="s">
        <v>218</v>
      </c>
    </row>
    <row r="46" spans="1:9" ht="15.75" x14ac:dyDescent="0.25">
      <c r="A46" s="24" t="s">
        <v>158</v>
      </c>
      <c r="B46" s="24" t="s">
        <v>159</v>
      </c>
      <c r="C46" s="26" t="s">
        <v>5</v>
      </c>
      <c r="D46" s="26"/>
      <c r="E46" s="26"/>
      <c r="F46" s="71"/>
      <c r="G46" s="71"/>
      <c r="H46" s="71">
        <v>1</v>
      </c>
      <c r="I46" s="144" t="s">
        <v>218</v>
      </c>
    </row>
    <row r="47" spans="1:9" ht="15.75" x14ac:dyDescent="0.25">
      <c r="A47" s="24" t="s">
        <v>62</v>
      </c>
      <c r="B47" s="23" t="s">
        <v>62</v>
      </c>
      <c r="C47" s="26" t="s">
        <v>5</v>
      </c>
      <c r="D47" s="26"/>
      <c r="E47" s="26"/>
      <c r="F47" s="71">
        <v>0</v>
      </c>
      <c r="G47" s="71"/>
      <c r="H47" s="71">
        <v>1</v>
      </c>
      <c r="I47" s="144" t="s">
        <v>218</v>
      </c>
    </row>
    <row r="48" spans="1:9" x14ac:dyDescent="0.25">
      <c r="A48" s="29"/>
      <c r="B48" s="29"/>
      <c r="C48" s="29"/>
      <c r="D48" s="29"/>
      <c r="E48" s="29"/>
      <c r="F48" s="29"/>
      <c r="G48" s="29"/>
      <c r="H48" s="29"/>
    </row>
  </sheetData>
  <mergeCells count="2">
    <mergeCell ref="C1:E2"/>
    <mergeCell ref="F1:H2"/>
  </mergeCells>
  <pageMargins left="0.7" right="0.7" top="0.75" bottom="0.75" header="0.3" footer="0.3"/>
  <pageSetup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6FCCB5FD19644380969D355D2CA295" ma:contentTypeVersion="14" ma:contentTypeDescription="Create a new document." ma:contentTypeScope="" ma:versionID="df6b0664472054839d80c884b074f034">
  <xsd:schema xmlns:xsd="http://www.w3.org/2001/XMLSchema" xmlns:xs="http://www.w3.org/2001/XMLSchema" xmlns:p="http://schemas.microsoft.com/office/2006/metadata/properties" xmlns:ns2="a085c1e9-b69f-44c3-a98f-0a86a64aa02d" xmlns:ns3="c1e8a9ea-fb8d-4183-b99c-d94e43afc56c" targetNamespace="http://schemas.microsoft.com/office/2006/metadata/properties" ma:root="true" ma:fieldsID="14d66223c0e0405a74c3d2af049b6181" ns2:_="" ns3:_="">
    <xsd:import namespace="a085c1e9-b69f-44c3-a98f-0a86a64aa02d"/>
    <xsd:import namespace="c1e8a9ea-fb8d-4183-b99c-d94e43afc56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5c1e9-b69f-44c3-a98f-0a86a64aa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b278eec-cad9-4ec1-bf87-f68f02c44eb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e8a9ea-fb8d-4183-b99c-d94e43afc56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52bb9066-9a8f-47d6-a551-f1f2fbba3688}" ma:internalName="TaxCatchAll" ma:showField="CatchAllData" ma:web="c1e8a9ea-fb8d-4183-b99c-d94e43afc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e8a9ea-fb8d-4183-b99c-d94e43afc56c" xsi:nil="true"/>
    <lcf76f155ced4ddcb4097134ff3c332f xmlns="a085c1e9-b69f-44c3-a98f-0a86a64aa0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0FC8EF-A9B4-4EC9-A4EB-85A296CE49C9}">
  <ds:schemaRefs>
    <ds:schemaRef ds:uri="http://schemas.microsoft.com/sharepoint/v3/contenttype/forms"/>
  </ds:schemaRefs>
</ds:datastoreItem>
</file>

<file path=customXml/itemProps2.xml><?xml version="1.0" encoding="utf-8"?>
<ds:datastoreItem xmlns:ds="http://schemas.openxmlformats.org/officeDocument/2006/customXml" ds:itemID="{C4BF091A-FAB2-41EB-8310-31E60217C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85c1e9-b69f-44c3-a98f-0a86a64aa02d"/>
    <ds:schemaRef ds:uri="c1e8a9ea-fb8d-4183-b99c-d94e43afc5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77EF56-1808-465B-A880-B361FBBFC883}">
  <ds:schemaRefs>
    <ds:schemaRef ds:uri="http://schemas.microsoft.com/office/2006/metadata/properties"/>
    <ds:schemaRef ds:uri="http://schemas.microsoft.com/office/infopath/2007/PartnerControls"/>
    <ds:schemaRef ds:uri="c1e8a9ea-fb8d-4183-b99c-d94e43afc56c"/>
    <ds:schemaRef ds:uri="a085c1e9-b69f-44c3-a98f-0a86a64aa02d"/>
    <ds:schemaRef ds:uri="fecb89f7-1030-4ef1-a5a9-de9a02e1554d"/>
    <ds:schemaRef ds:uri="4ca18e79-0aff-4146-8287-9affc5397fc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WORKBOOK INSTRUCTIONS</vt:lpstr>
      <vt:lpstr>Cost Claim Summary</vt:lpstr>
      <vt:lpstr>Cost Calculation</vt:lpstr>
      <vt:lpstr>Cost Sharing</vt:lpstr>
      <vt:lpstr>Payroll Costs</vt:lpstr>
      <vt:lpstr>Non Payroll Costs</vt:lpstr>
      <vt:lpstr>Time Study Hours</vt:lpstr>
      <vt:lpstr>CECRIS PIN Lookup Table</vt:lpstr>
      <vt:lpstr>'Cost Calculation'!Print_Area</vt:lpstr>
      <vt:lpstr>'Cost Claim Summary'!Print_Area</vt:lpstr>
      <vt:lpstr>'Cost Sharing'!Print_Area</vt:lpstr>
      <vt:lpstr>'WORKBOOK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Seth Kilbourn</dc:creator>
  <cp:lastModifiedBy>Seth Kilbourn</cp:lastModifiedBy>
  <cp:lastPrinted>2024-03-29T22:48:52Z</cp:lastPrinted>
  <dcterms:created xsi:type="dcterms:W3CDTF">2024-02-22T22:56:11Z</dcterms:created>
  <dcterms:modified xsi:type="dcterms:W3CDTF">2024-11-14T00:30:49Z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0x010100936FCCB5FD19644380969D355D2CA295</vt:lpwstr>
  </property>
  <property fmtid="{D5CDD505-2E9C-101B-9397-08002B2CF9AE}" pid="3" name="MediaServiceImageTags">
    <vt:lpwstr/>
  </property>
</Properties>
</file>